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C:\Users\RachelMooney\Downloads\"/>
    </mc:Choice>
  </mc:AlternateContent>
  <xr:revisionPtr revIDLastSave="0" documentId="8_{9BDB2303-926D-4667-8F23-8B3CC7FCFB8A}" xr6:coauthVersionLast="47" xr6:coauthVersionMax="47" xr10:uidLastSave="{00000000-0000-0000-0000-000000000000}"/>
  <bookViews>
    <workbookView xWindow="-110" yWindow="-110" windowWidth="19420" windowHeight="10420" tabRatio="806" firstSheet="8" activeTab="13" xr2:uid="{00000000-000D-0000-FFFF-FFFF00000000}"/>
  </bookViews>
  <sheets>
    <sheet name="I. Introducción" sheetId="18" r:id="rId1"/>
    <sheet name="II. Resumen" sheetId="3" r:id="rId2"/>
    <sheet name="III. Datos Entrada-BE" sheetId="6" r:id="rId3"/>
    <sheet name="IV. Datos Entrada-PE" sheetId="7" r:id="rId4"/>
    <sheet name="V. BE CH4-AS" sheetId="1" r:id="rId5"/>
    <sheet name="VI. BE CH4-nAS" sheetId="8" r:id="rId6"/>
    <sheet name="VII. Total BE CH4" sheetId="9" r:id="rId7"/>
    <sheet name="VIII. PE CH4(BCS)" sheetId="10" r:id="rId8"/>
    <sheet name="IX. PE CH4(V)" sheetId="11" r:id="rId9"/>
    <sheet name="X. PE CH4(EP)" sheetId="12" r:id="rId10"/>
    <sheet name="XI. PE CH4(nBCS)" sheetId="13" r:id="rId11"/>
    <sheet name="XII. Total PE CH4" sheetId="14" r:id="rId12"/>
    <sheet name="XIII. CO2" sheetId="15" r:id="rId13"/>
    <sheet name="XIV. Tablas de referencia" sheetId="4" r:id="rId14"/>
  </sheets>
  <definedNames>
    <definedName name="PCG">'XIV. Tablas de referencia'!$C$245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8" l="1"/>
  <c r="F245" i="6"/>
  <c r="F241" i="6"/>
  <c r="F248" i="7"/>
  <c r="E245" i="6"/>
  <c r="F224" i="6"/>
  <c r="E226" i="6"/>
  <c r="E227" i="6"/>
  <c r="E224" i="6"/>
  <c r="E252" i="7"/>
  <c r="F252" i="7"/>
  <c r="F249" i="7"/>
  <c r="F250" i="7"/>
  <c r="C277" i="7" l="1"/>
  <c r="E232" i="7"/>
  <c r="F232" i="7" l="1"/>
  <c r="D15" i="15" l="1"/>
  <c r="B105" i="6"/>
  <c r="C105" i="6" s="1"/>
  <c r="D105" i="6" s="1"/>
  <c r="B106" i="6"/>
  <c r="C106" i="6" s="1"/>
  <c r="D106" i="6" s="1"/>
  <c r="E63" i="8" s="1"/>
  <c r="B107" i="6"/>
  <c r="C107" i="6" s="1"/>
  <c r="D107" i="6" s="1"/>
  <c r="E36" i="8" s="1"/>
  <c r="B108" i="6"/>
  <c r="C108" i="6" s="1"/>
  <c r="D108" i="6" s="1"/>
  <c r="B109" i="6"/>
  <c r="C109" i="6" s="1"/>
  <c r="D109" i="6" s="1"/>
  <c r="E24" i="8" s="1"/>
  <c r="B110" i="6"/>
  <c r="C110" i="6" s="1"/>
  <c r="D110" i="6" s="1"/>
  <c r="E25" i="8" s="1"/>
  <c r="B111" i="6"/>
  <c r="C111" i="6" s="1"/>
  <c r="D111" i="6" s="1"/>
  <c r="E54" i="8" s="1"/>
  <c r="B112" i="6"/>
  <c r="C112" i="6" s="1"/>
  <c r="D112" i="6" s="1"/>
  <c r="B113" i="6"/>
  <c r="C113" i="6" s="1"/>
  <c r="D113" i="6" s="1"/>
  <c r="E56" i="8" s="1"/>
  <c r="B104" i="6"/>
  <c r="B120" i="6"/>
  <c r="C120" i="6" s="1"/>
  <c r="E53" i="6"/>
  <c r="E32" i="6"/>
  <c r="G32" i="6" s="1"/>
  <c r="E33" i="6"/>
  <c r="G33" i="6" s="1"/>
  <c r="E34" i="6"/>
  <c r="G34" i="6" s="1"/>
  <c r="E35" i="6"/>
  <c r="G35" i="6" s="1"/>
  <c r="E36" i="6"/>
  <c r="G36" i="6" s="1"/>
  <c r="E37" i="6"/>
  <c r="G37" i="6" s="1"/>
  <c r="E38" i="6"/>
  <c r="G38" i="6" s="1"/>
  <c r="E39" i="6"/>
  <c r="G39" i="6" s="1"/>
  <c r="E40" i="6"/>
  <c r="G40" i="6" s="1"/>
  <c r="E41" i="6"/>
  <c r="G41" i="6" s="1"/>
  <c r="E42" i="6"/>
  <c r="G42" i="6" s="1"/>
  <c r="E43" i="6"/>
  <c r="G43" i="6" s="1"/>
  <c r="B33" i="6"/>
  <c r="B17" i="10" s="1"/>
  <c r="B21" i="11" s="1"/>
  <c r="B34" i="6"/>
  <c r="B18" i="10" s="1"/>
  <c r="B22" i="11" s="1"/>
  <c r="B35" i="6"/>
  <c r="B19" i="10" s="1"/>
  <c r="B23" i="11" s="1"/>
  <c r="B36" i="6"/>
  <c r="B20" i="10" s="1"/>
  <c r="B24" i="11" s="1"/>
  <c r="B37" i="6"/>
  <c r="B21" i="10" s="1"/>
  <c r="B25" i="11" s="1"/>
  <c r="B38" i="6"/>
  <c r="B77" i="1" s="1"/>
  <c r="B39" i="6"/>
  <c r="B23" i="10" s="1"/>
  <c r="B27" i="11" s="1"/>
  <c r="B40" i="6"/>
  <c r="B24" i="10" s="1"/>
  <c r="B28" i="11" s="1"/>
  <c r="B41" i="6"/>
  <c r="B25" i="10" s="1"/>
  <c r="B29" i="11" s="1"/>
  <c r="B42" i="6"/>
  <c r="B491" i="1" s="1"/>
  <c r="B43" i="6"/>
  <c r="B27" i="10" s="1"/>
  <c r="B31" i="11" s="1"/>
  <c r="B32" i="6"/>
  <c r="B16" i="10" s="1"/>
  <c r="B20" i="11" s="1"/>
  <c r="G17" i="10"/>
  <c r="H58" i="7"/>
  <c r="I17" i="10" s="1"/>
  <c r="G18" i="10"/>
  <c r="H59" i="7"/>
  <c r="I18" i="10" s="1"/>
  <c r="G19" i="10"/>
  <c r="H60" i="7"/>
  <c r="I19" i="10" s="1"/>
  <c r="G20" i="10"/>
  <c r="H61" i="7"/>
  <c r="I20" i="10" s="1"/>
  <c r="G21" i="10"/>
  <c r="H62" i="7"/>
  <c r="I21" i="10" s="1"/>
  <c r="H16" i="10"/>
  <c r="D71" i="1"/>
  <c r="E59" i="6"/>
  <c r="D72" i="1"/>
  <c r="E60" i="6"/>
  <c r="D73" i="1"/>
  <c r="E61" i="6"/>
  <c r="D74" i="1"/>
  <c r="E62" i="6"/>
  <c r="C75" i="1"/>
  <c r="D75" i="1"/>
  <c r="E63" i="6"/>
  <c r="D76" i="1"/>
  <c r="E64" i="6"/>
  <c r="D77" i="1"/>
  <c r="E65" i="6"/>
  <c r="D78" i="1"/>
  <c r="E66" i="6"/>
  <c r="D79" i="1"/>
  <c r="E67" i="6"/>
  <c r="C91" i="6"/>
  <c r="C33" i="8" s="1"/>
  <c r="B173" i="6"/>
  <c r="C173" i="6" s="1"/>
  <c r="D91" i="6"/>
  <c r="C34" i="8" s="1"/>
  <c r="D20" i="8"/>
  <c r="B121" i="6"/>
  <c r="C121" i="6" s="1"/>
  <c r="E91" i="6"/>
  <c r="C35" i="8" s="1"/>
  <c r="D21" i="8"/>
  <c r="B122" i="6"/>
  <c r="C122" i="6" s="1"/>
  <c r="G77" i="8" s="1"/>
  <c r="F91" i="6"/>
  <c r="C50" i="8" s="1"/>
  <c r="D22" i="8"/>
  <c r="B123" i="6"/>
  <c r="C123" i="6" s="1"/>
  <c r="G36" i="8" s="1"/>
  <c r="G91" i="6"/>
  <c r="C23" i="8" s="1"/>
  <c r="D23" i="8"/>
  <c r="B124" i="6"/>
  <c r="C124" i="6" s="1"/>
  <c r="G65" i="8" s="1"/>
  <c r="H91" i="6"/>
  <c r="C38" i="8" s="1"/>
  <c r="D24" i="8"/>
  <c r="B125" i="6"/>
  <c r="C125" i="6" s="1"/>
  <c r="I91" i="6"/>
  <c r="C25" i="8" s="1"/>
  <c r="D25" i="8"/>
  <c r="B126" i="6"/>
  <c r="C126" i="6" s="1"/>
  <c r="G25" i="8" s="1"/>
  <c r="J91" i="6"/>
  <c r="C26" i="8" s="1"/>
  <c r="D26" i="8"/>
  <c r="B127" i="6"/>
  <c r="C127" i="6" s="1"/>
  <c r="G26" i="8" s="1"/>
  <c r="K91" i="6"/>
  <c r="C153" i="8" s="1"/>
  <c r="D27" i="8"/>
  <c r="B128" i="6"/>
  <c r="C128" i="6" s="1"/>
  <c r="G27" i="8" s="1"/>
  <c r="L91" i="6"/>
  <c r="C42" i="8" s="1"/>
  <c r="D28" i="8"/>
  <c r="B129" i="6"/>
  <c r="C129" i="6" s="1"/>
  <c r="G28" i="8" s="1"/>
  <c r="D33" i="8"/>
  <c r="B174" i="6"/>
  <c r="C174" i="6" s="1"/>
  <c r="F33" i="8" s="1"/>
  <c r="D34" i="8"/>
  <c r="D35" i="8"/>
  <c r="D36" i="8"/>
  <c r="D37" i="8"/>
  <c r="D38" i="8"/>
  <c r="D39" i="8"/>
  <c r="D40" i="8"/>
  <c r="D41" i="8"/>
  <c r="D42" i="8"/>
  <c r="D47" i="8"/>
  <c r="B175" i="6"/>
  <c r="C175" i="6" s="1"/>
  <c r="F47" i="8" s="1"/>
  <c r="C48" i="8"/>
  <c r="D48" i="8"/>
  <c r="D49" i="8"/>
  <c r="D50" i="8"/>
  <c r="D51" i="8"/>
  <c r="D52" i="8"/>
  <c r="D53" i="8"/>
  <c r="D54" i="8"/>
  <c r="D55" i="8"/>
  <c r="D56" i="8"/>
  <c r="D61" i="8"/>
  <c r="B176" i="6"/>
  <c r="C176" i="6" s="1"/>
  <c r="F63" i="8" s="1"/>
  <c r="D62" i="8"/>
  <c r="D63" i="8"/>
  <c r="D64" i="8"/>
  <c r="D65" i="8"/>
  <c r="D66" i="8"/>
  <c r="D67" i="8"/>
  <c r="D68" i="8"/>
  <c r="D69" i="8"/>
  <c r="D70" i="8"/>
  <c r="D75" i="8"/>
  <c r="B177" i="6"/>
  <c r="C177" i="6" s="1"/>
  <c r="F77" i="8" s="1"/>
  <c r="D76" i="8"/>
  <c r="D77" i="8"/>
  <c r="D78" i="8"/>
  <c r="D79" i="8"/>
  <c r="D80" i="8"/>
  <c r="D81" i="8"/>
  <c r="D82" i="8"/>
  <c r="D83" i="8"/>
  <c r="D84" i="8"/>
  <c r="D89" i="8"/>
  <c r="B178" i="6"/>
  <c r="C178" i="6" s="1"/>
  <c r="F89" i="8" s="1"/>
  <c r="C90" i="8"/>
  <c r="D90" i="8"/>
  <c r="D91" i="8"/>
  <c r="D92" i="8"/>
  <c r="D93" i="8"/>
  <c r="D94" i="8"/>
  <c r="D95" i="8"/>
  <c r="D96" i="8"/>
  <c r="D97" i="8"/>
  <c r="D98" i="8"/>
  <c r="D103" i="8"/>
  <c r="B179" i="6"/>
  <c r="C179" i="6" s="1"/>
  <c r="F108" i="8" s="1"/>
  <c r="D104" i="8"/>
  <c r="D105" i="8"/>
  <c r="D106" i="8"/>
  <c r="D107" i="8"/>
  <c r="D108" i="8"/>
  <c r="D109" i="8"/>
  <c r="D110" i="8"/>
  <c r="D111" i="8"/>
  <c r="D112" i="8"/>
  <c r="D117" i="8"/>
  <c r="B180" i="6"/>
  <c r="C180" i="6" s="1"/>
  <c r="F118" i="8" s="1"/>
  <c r="D118" i="8"/>
  <c r="D119" i="8"/>
  <c r="D120" i="8"/>
  <c r="D121" i="8"/>
  <c r="D122" i="8"/>
  <c r="D123" i="8"/>
  <c r="D124" i="8"/>
  <c r="D125" i="8"/>
  <c r="D126" i="8"/>
  <c r="D131" i="8"/>
  <c r="B181" i="6"/>
  <c r="C181" i="6"/>
  <c r="F132" i="8" s="1"/>
  <c r="D132" i="8"/>
  <c r="D133" i="8"/>
  <c r="D134" i="8"/>
  <c r="D135" i="8"/>
  <c r="D136" i="8"/>
  <c r="D137" i="8"/>
  <c r="D138" i="8"/>
  <c r="D139" i="8"/>
  <c r="D140" i="8"/>
  <c r="D145" i="8"/>
  <c r="B182" i="6"/>
  <c r="C182" i="6" s="1"/>
  <c r="F149" i="8" s="1"/>
  <c r="D146" i="8"/>
  <c r="D147" i="8"/>
  <c r="D148" i="8"/>
  <c r="D149" i="8"/>
  <c r="D150" i="8"/>
  <c r="D151" i="8"/>
  <c r="D152" i="8"/>
  <c r="D153" i="8"/>
  <c r="D154" i="8"/>
  <c r="D159" i="8"/>
  <c r="B183" i="6"/>
  <c r="C183" i="6" s="1"/>
  <c r="F161" i="8" s="1"/>
  <c r="D160" i="8"/>
  <c r="D161" i="8"/>
  <c r="D162" i="8"/>
  <c r="D163" i="8"/>
  <c r="D164" i="8"/>
  <c r="D165" i="8"/>
  <c r="D166" i="8"/>
  <c r="D167" i="8"/>
  <c r="D168" i="8"/>
  <c r="C27" i="1"/>
  <c r="C26" i="1"/>
  <c r="D23" i="1"/>
  <c r="D24" i="1"/>
  <c r="D25" i="1"/>
  <c r="D26" i="1"/>
  <c r="D27" i="1"/>
  <c r="D28" i="1"/>
  <c r="D29" i="1"/>
  <c r="D30" i="1"/>
  <c r="D31" i="1"/>
  <c r="D32" i="1"/>
  <c r="D33" i="1"/>
  <c r="C34" i="1"/>
  <c r="D34" i="1"/>
  <c r="B19" i="1"/>
  <c r="B43" i="1" s="1"/>
  <c r="B198" i="7"/>
  <c r="B199" i="7"/>
  <c r="B200" i="7"/>
  <c r="B201" i="7"/>
  <c r="B202" i="7"/>
  <c r="B203" i="7"/>
  <c r="B204" i="7"/>
  <c r="B205" i="7"/>
  <c r="B206" i="7"/>
  <c r="B197" i="7"/>
  <c r="B194" i="7"/>
  <c r="B193" i="7"/>
  <c r="B148" i="7"/>
  <c r="C78" i="6"/>
  <c r="C190" i="6" s="1"/>
  <c r="C194" i="6" s="1"/>
  <c r="C206" i="6" s="1"/>
  <c r="B149" i="7"/>
  <c r="B150" i="7"/>
  <c r="B151" i="7"/>
  <c r="B152" i="7"/>
  <c r="B153" i="7"/>
  <c r="B154" i="7"/>
  <c r="B155" i="7"/>
  <c r="B156" i="7"/>
  <c r="B157" i="7"/>
  <c r="D89" i="7"/>
  <c r="C16" i="10" s="1"/>
  <c r="D38" i="7"/>
  <c r="H57" i="7" s="1"/>
  <c r="I16" i="10" s="1"/>
  <c r="D21" i="7"/>
  <c r="D22" i="7"/>
  <c r="D23" i="7"/>
  <c r="D24" i="7"/>
  <c r="D25" i="7"/>
  <c r="D26" i="7"/>
  <c r="D27" i="7"/>
  <c r="D28" i="7"/>
  <c r="D29" i="7"/>
  <c r="D30" i="7"/>
  <c r="D31" i="7"/>
  <c r="D20" i="7"/>
  <c r="F225" i="6"/>
  <c r="E16" i="15" s="1"/>
  <c r="F226" i="6"/>
  <c r="E17" i="15" s="1"/>
  <c r="F227" i="6"/>
  <c r="E18" i="15" s="1"/>
  <c r="E225" i="6"/>
  <c r="D78" i="6"/>
  <c r="D190" i="6" s="1"/>
  <c r="D194" i="6" s="1"/>
  <c r="D206" i="6" s="1"/>
  <c r="E78" i="6"/>
  <c r="E190" i="6" s="1"/>
  <c r="E194" i="6" s="1"/>
  <c r="E206" i="6" s="1"/>
  <c r="F78" i="6"/>
  <c r="F190" i="6" s="1"/>
  <c r="F194" i="6" s="1"/>
  <c r="F206" i="6" s="1"/>
  <c r="G78" i="6"/>
  <c r="G196" i="7" s="1"/>
  <c r="H78" i="6"/>
  <c r="H190" i="6" s="1"/>
  <c r="H194" i="6" s="1"/>
  <c r="H206" i="6" s="1"/>
  <c r="I78" i="6"/>
  <c r="I190" i="6" s="1"/>
  <c r="I194" i="6" s="1"/>
  <c r="I206" i="6" s="1"/>
  <c r="J78" i="6"/>
  <c r="J190" i="6" s="1"/>
  <c r="J194" i="6" s="1"/>
  <c r="J206" i="6" s="1"/>
  <c r="K78" i="6"/>
  <c r="K196" i="7" s="1"/>
  <c r="L78" i="6"/>
  <c r="L190" i="6" s="1"/>
  <c r="L194" i="6" s="1"/>
  <c r="L206" i="6" s="1"/>
  <c r="B195" i="6"/>
  <c r="C27" i="6"/>
  <c r="C10" i="3"/>
  <c r="C11" i="3"/>
  <c r="C40" i="13"/>
  <c r="E40" i="13" s="1"/>
  <c r="D40" i="13"/>
  <c r="C41" i="13"/>
  <c r="E41" i="13" s="1"/>
  <c r="D41" i="13"/>
  <c r="C42" i="13"/>
  <c r="E42" i="13" s="1"/>
  <c r="D42" i="13"/>
  <c r="C43" i="13"/>
  <c r="D43" i="13"/>
  <c r="C44" i="13"/>
  <c r="D44" i="13"/>
  <c r="C45" i="13"/>
  <c r="D45" i="13"/>
  <c r="C46" i="13"/>
  <c r="D46" i="13"/>
  <c r="C47" i="13"/>
  <c r="D47" i="13"/>
  <c r="C48" i="13"/>
  <c r="D48" i="13"/>
  <c r="E48" i="13"/>
  <c r="C49" i="13"/>
  <c r="D49" i="13"/>
  <c r="E49" i="13" s="1"/>
  <c r="C50" i="13"/>
  <c r="E50" i="13" s="1"/>
  <c r="D50" i="13"/>
  <c r="C51" i="13"/>
  <c r="D51" i="13"/>
  <c r="E51" i="13" s="1"/>
  <c r="C60" i="13"/>
  <c r="D60" i="13"/>
  <c r="E60" i="13" s="1"/>
  <c r="C61" i="13"/>
  <c r="D61" i="13"/>
  <c r="C62" i="13"/>
  <c r="D62" i="13"/>
  <c r="C63" i="13"/>
  <c r="D63" i="13"/>
  <c r="C64" i="13"/>
  <c r="D64" i="13"/>
  <c r="C65" i="13"/>
  <c r="D65" i="13"/>
  <c r="C66" i="13"/>
  <c r="E66" i="13" s="1"/>
  <c r="D66" i="13"/>
  <c r="C67" i="13"/>
  <c r="D67" i="13"/>
  <c r="C68" i="13"/>
  <c r="D68" i="13"/>
  <c r="C69" i="13"/>
  <c r="D69" i="13"/>
  <c r="C70" i="13"/>
  <c r="D70" i="13"/>
  <c r="C71" i="13"/>
  <c r="D71" i="13"/>
  <c r="E71" i="13" s="1"/>
  <c r="C80" i="13"/>
  <c r="D80" i="13"/>
  <c r="C81" i="13"/>
  <c r="D81" i="13"/>
  <c r="C82" i="13"/>
  <c r="D82" i="13"/>
  <c r="E82" i="13"/>
  <c r="C83" i="13"/>
  <c r="D83" i="13"/>
  <c r="E83" i="13" s="1"/>
  <c r="C84" i="13"/>
  <c r="E84" i="13" s="1"/>
  <c r="D84" i="13"/>
  <c r="C85" i="13"/>
  <c r="D85" i="13"/>
  <c r="C86" i="13"/>
  <c r="D86" i="13"/>
  <c r="E86" i="13" s="1"/>
  <c r="C87" i="13"/>
  <c r="D87" i="13"/>
  <c r="C88" i="13"/>
  <c r="D88" i="13"/>
  <c r="C89" i="13"/>
  <c r="D89" i="13"/>
  <c r="C90" i="13"/>
  <c r="D90" i="13"/>
  <c r="C91" i="13"/>
  <c r="D91" i="13"/>
  <c r="C100" i="13"/>
  <c r="E100" i="13" s="1"/>
  <c r="D100" i="13"/>
  <c r="C101" i="13"/>
  <c r="D101" i="13"/>
  <c r="E101" i="13" s="1"/>
  <c r="C102" i="13"/>
  <c r="D102" i="13"/>
  <c r="C103" i="13"/>
  <c r="E103" i="13" s="1"/>
  <c r="D103" i="13"/>
  <c r="C104" i="13"/>
  <c r="D104" i="13"/>
  <c r="E104" i="13"/>
  <c r="C105" i="13"/>
  <c r="D105" i="13"/>
  <c r="C106" i="13"/>
  <c r="D106" i="13"/>
  <c r="D112" i="13" s="1"/>
  <c r="C107" i="13"/>
  <c r="D107" i="13"/>
  <c r="C108" i="13"/>
  <c r="D108" i="13"/>
  <c r="E108" i="13"/>
  <c r="C109" i="13"/>
  <c r="D109" i="13"/>
  <c r="E109" i="13" s="1"/>
  <c r="C110" i="13"/>
  <c r="E110" i="13" s="1"/>
  <c r="D110" i="13"/>
  <c r="C111" i="13"/>
  <c r="D111" i="13"/>
  <c r="C120" i="13"/>
  <c r="D120" i="13"/>
  <c r="E120" i="13"/>
  <c r="C121" i="13"/>
  <c r="E121" i="13" s="1"/>
  <c r="D121" i="13"/>
  <c r="C122" i="13"/>
  <c r="D122" i="13"/>
  <c r="E122" i="13"/>
  <c r="C123" i="13"/>
  <c r="D123" i="13"/>
  <c r="E123" i="13" s="1"/>
  <c r="C124" i="13"/>
  <c r="D124" i="13"/>
  <c r="C125" i="13"/>
  <c r="D125" i="13"/>
  <c r="C126" i="13"/>
  <c r="D126" i="13"/>
  <c r="C127" i="13"/>
  <c r="D127" i="13"/>
  <c r="C128" i="13"/>
  <c r="D128" i="13"/>
  <c r="E128" i="13" s="1"/>
  <c r="C129" i="13"/>
  <c r="D129" i="13"/>
  <c r="C130" i="13"/>
  <c r="D130" i="13"/>
  <c r="E130" i="13"/>
  <c r="C131" i="13"/>
  <c r="D131" i="13"/>
  <c r="E131" i="13" s="1"/>
  <c r="D224" i="13"/>
  <c r="C140" i="13"/>
  <c r="E140" i="13" s="1"/>
  <c r="D140" i="13"/>
  <c r="C141" i="13"/>
  <c r="D141" i="13"/>
  <c r="E141" i="13" s="1"/>
  <c r="C142" i="13"/>
  <c r="D142" i="13"/>
  <c r="C143" i="13"/>
  <c r="D143" i="13"/>
  <c r="D152" i="13" s="1"/>
  <c r="C144" i="13"/>
  <c r="D144" i="13"/>
  <c r="C145" i="13"/>
  <c r="E145" i="13" s="1"/>
  <c r="D145" i="13"/>
  <c r="C146" i="13"/>
  <c r="E146" i="13" s="1"/>
  <c r="D146" i="13"/>
  <c r="C147" i="13"/>
  <c r="D147" i="13"/>
  <c r="C148" i="13"/>
  <c r="D148" i="13"/>
  <c r="C149" i="13"/>
  <c r="D149" i="13"/>
  <c r="E149" i="13" s="1"/>
  <c r="C150" i="13"/>
  <c r="D150" i="13"/>
  <c r="C151" i="13"/>
  <c r="D151" i="13"/>
  <c r="C160" i="13"/>
  <c r="E160" i="13" s="1"/>
  <c r="D160" i="13"/>
  <c r="C161" i="13"/>
  <c r="D161" i="13"/>
  <c r="C162" i="13"/>
  <c r="D162" i="13"/>
  <c r="C163" i="13"/>
  <c r="D163" i="13"/>
  <c r="C164" i="13"/>
  <c r="E164" i="13" s="1"/>
  <c r="D164" i="13"/>
  <c r="C165" i="13"/>
  <c r="D165" i="13"/>
  <c r="C166" i="13"/>
  <c r="D166" i="13"/>
  <c r="E166" i="13"/>
  <c r="C167" i="13"/>
  <c r="D167" i="13"/>
  <c r="C168" i="13"/>
  <c r="D168" i="13"/>
  <c r="C169" i="13"/>
  <c r="E169" i="13" s="1"/>
  <c r="D169" i="13"/>
  <c r="C170" i="13"/>
  <c r="D170" i="13"/>
  <c r="C171" i="13"/>
  <c r="D171" i="13"/>
  <c r="C180" i="13"/>
  <c r="D180" i="13"/>
  <c r="C181" i="13"/>
  <c r="D181" i="13"/>
  <c r="C182" i="13"/>
  <c r="D182" i="13"/>
  <c r="C183" i="13"/>
  <c r="D183" i="13"/>
  <c r="C184" i="13"/>
  <c r="E184" i="13" s="1"/>
  <c r="D184" i="13"/>
  <c r="C185" i="13"/>
  <c r="D185" i="13"/>
  <c r="E185" i="13" s="1"/>
  <c r="C186" i="13"/>
  <c r="E186" i="13" s="1"/>
  <c r="D186" i="13"/>
  <c r="C187" i="13"/>
  <c r="D187" i="13"/>
  <c r="C188" i="13"/>
  <c r="D188" i="13"/>
  <c r="E188" i="13"/>
  <c r="C189" i="13"/>
  <c r="E189" i="13" s="1"/>
  <c r="D189" i="13"/>
  <c r="C190" i="13"/>
  <c r="E190" i="13" s="1"/>
  <c r="D190" i="13"/>
  <c r="C191" i="13"/>
  <c r="D191" i="13"/>
  <c r="E191" i="13" s="1"/>
  <c r="C200" i="13"/>
  <c r="E200" i="13" s="1"/>
  <c r="D200" i="13"/>
  <c r="C201" i="13"/>
  <c r="D201" i="13"/>
  <c r="C202" i="13"/>
  <c r="D202" i="13"/>
  <c r="E202" i="13" s="1"/>
  <c r="C203" i="13"/>
  <c r="D203" i="13"/>
  <c r="C204" i="13"/>
  <c r="E204" i="13" s="1"/>
  <c r="D204" i="13"/>
  <c r="C205" i="13"/>
  <c r="E205" i="13" s="1"/>
  <c r="D205" i="13"/>
  <c r="C206" i="13"/>
  <c r="E206" i="13" s="1"/>
  <c r="D206" i="13"/>
  <c r="C207" i="13"/>
  <c r="D207" i="13"/>
  <c r="E207" i="13" s="1"/>
  <c r="C208" i="13"/>
  <c r="E208" i="13" s="1"/>
  <c r="D208" i="13"/>
  <c r="C209" i="13"/>
  <c r="D209" i="13"/>
  <c r="C210" i="13"/>
  <c r="D210" i="13"/>
  <c r="E210" i="13"/>
  <c r="C211" i="13"/>
  <c r="D211" i="13"/>
  <c r="E211" i="13" s="1"/>
  <c r="C20" i="13"/>
  <c r="D20" i="13"/>
  <c r="C21" i="13"/>
  <c r="D21" i="13"/>
  <c r="C22" i="13"/>
  <c r="D22" i="13"/>
  <c r="C23" i="13"/>
  <c r="D23" i="13"/>
  <c r="C24" i="13"/>
  <c r="D24" i="13"/>
  <c r="E24" i="13"/>
  <c r="C25" i="13"/>
  <c r="D25" i="13"/>
  <c r="C26" i="13"/>
  <c r="D26" i="13"/>
  <c r="E26" i="13" s="1"/>
  <c r="C27" i="13"/>
  <c r="D27" i="13"/>
  <c r="C28" i="13"/>
  <c r="E28" i="13" s="1"/>
  <c r="D28" i="13"/>
  <c r="C29" i="13"/>
  <c r="D29" i="13"/>
  <c r="C30" i="13"/>
  <c r="E30" i="13" s="1"/>
  <c r="D30" i="13"/>
  <c r="C31" i="13"/>
  <c r="D31" i="13"/>
  <c r="D18" i="12"/>
  <c r="C21" i="11"/>
  <c r="H21" i="11" s="1"/>
  <c r="I21" i="11" s="1"/>
  <c r="D21" i="11"/>
  <c r="E21" i="11"/>
  <c r="F17" i="10"/>
  <c r="C22" i="11"/>
  <c r="D22" i="11"/>
  <c r="E22" i="11"/>
  <c r="F18" i="10"/>
  <c r="C23" i="11"/>
  <c r="H23" i="11" s="1"/>
  <c r="I23" i="11" s="1"/>
  <c r="D23" i="11"/>
  <c r="E23" i="11"/>
  <c r="F19" i="10"/>
  <c r="C24" i="11"/>
  <c r="D24" i="11"/>
  <c r="E24" i="11"/>
  <c r="F20" i="10"/>
  <c r="C25" i="11"/>
  <c r="H25" i="11" s="1"/>
  <c r="I25" i="11" s="1"/>
  <c r="D25" i="11"/>
  <c r="E25" i="11"/>
  <c r="F21" i="10"/>
  <c r="C26" i="11"/>
  <c r="D26" i="11"/>
  <c r="E26" i="11"/>
  <c r="F22" i="10"/>
  <c r="C27" i="11"/>
  <c r="D27" i="11"/>
  <c r="E27" i="11"/>
  <c r="F23" i="10"/>
  <c r="C28" i="11"/>
  <c r="D28" i="11"/>
  <c r="E28" i="11"/>
  <c r="F24" i="10"/>
  <c r="C29" i="11"/>
  <c r="H29" i="11" s="1"/>
  <c r="I29" i="11" s="1"/>
  <c r="D29" i="11"/>
  <c r="E29" i="11"/>
  <c r="F25" i="10"/>
  <c r="C30" i="11"/>
  <c r="D30" i="11"/>
  <c r="E30" i="11"/>
  <c r="F26" i="10"/>
  <c r="C31" i="11"/>
  <c r="D31" i="11"/>
  <c r="E31" i="11"/>
  <c r="F27" i="10"/>
  <c r="C20" i="11"/>
  <c r="D20" i="11"/>
  <c r="E20" i="11"/>
  <c r="F16" i="10"/>
  <c r="H63" i="7"/>
  <c r="I22" i="10" s="1"/>
  <c r="G22" i="10"/>
  <c r="H64" i="7"/>
  <c r="I23" i="10" s="1"/>
  <c r="G23" i="10"/>
  <c r="H65" i="7"/>
  <c r="I24" i="10" s="1"/>
  <c r="G24" i="10"/>
  <c r="H66" i="7"/>
  <c r="I25" i="10" s="1"/>
  <c r="G25" i="10"/>
  <c r="H67" i="7"/>
  <c r="I26" i="10" s="1"/>
  <c r="G26" i="10"/>
  <c r="H68" i="7"/>
  <c r="I27" i="10" s="1"/>
  <c r="G27" i="10"/>
  <c r="H17" i="10"/>
  <c r="H18" i="10"/>
  <c r="H19" i="10"/>
  <c r="H20" i="10"/>
  <c r="H21" i="10"/>
  <c r="H22" i="10"/>
  <c r="H23" i="10"/>
  <c r="H24" i="10"/>
  <c r="H25" i="10"/>
  <c r="H26" i="10"/>
  <c r="H27" i="10"/>
  <c r="D120" i="1"/>
  <c r="D121" i="1"/>
  <c r="D122" i="1"/>
  <c r="C123" i="1"/>
  <c r="D123" i="1"/>
  <c r="C124" i="1"/>
  <c r="D124" i="1"/>
  <c r="D125" i="1"/>
  <c r="D126" i="1"/>
  <c r="D127" i="1"/>
  <c r="D128" i="1"/>
  <c r="B128" i="1"/>
  <c r="D129" i="1"/>
  <c r="D130" i="1"/>
  <c r="C131" i="1"/>
  <c r="D131" i="1"/>
  <c r="D168" i="1"/>
  <c r="D169" i="1"/>
  <c r="D170" i="1"/>
  <c r="C171" i="1"/>
  <c r="D171" i="1"/>
  <c r="C172" i="1"/>
  <c r="D172" i="1"/>
  <c r="D173" i="1"/>
  <c r="D174" i="1"/>
  <c r="D175" i="1"/>
  <c r="D176" i="1"/>
  <c r="B176" i="1"/>
  <c r="D177" i="1"/>
  <c r="D178" i="1"/>
  <c r="C179" i="1"/>
  <c r="D179" i="1"/>
  <c r="D215" i="1"/>
  <c r="D216" i="1"/>
  <c r="D217" i="1"/>
  <c r="D218" i="1"/>
  <c r="D219" i="1"/>
  <c r="D220" i="1"/>
  <c r="D221" i="1"/>
  <c r="D222" i="1"/>
  <c r="D223" i="1"/>
  <c r="B223" i="1"/>
  <c r="D224" i="1"/>
  <c r="D225" i="1"/>
  <c r="D226" i="1"/>
  <c r="D264" i="1"/>
  <c r="D265" i="1"/>
  <c r="D266" i="1"/>
  <c r="C267" i="1"/>
  <c r="D267" i="1"/>
  <c r="C268" i="1"/>
  <c r="D268" i="1"/>
  <c r="D269" i="1"/>
  <c r="D270" i="1"/>
  <c r="D271" i="1"/>
  <c r="D272" i="1"/>
  <c r="B272" i="1"/>
  <c r="D273" i="1"/>
  <c r="D274" i="1"/>
  <c r="C275" i="1"/>
  <c r="D275" i="1"/>
  <c r="D314" i="1"/>
  <c r="D315" i="1"/>
  <c r="D316" i="1"/>
  <c r="C317" i="1"/>
  <c r="D317" i="1"/>
  <c r="C318" i="1"/>
  <c r="D318" i="1"/>
  <c r="D319" i="1"/>
  <c r="D320" i="1"/>
  <c r="D321" i="1"/>
  <c r="D322" i="1"/>
  <c r="B322" i="1"/>
  <c r="D323" i="1"/>
  <c r="D324" i="1"/>
  <c r="C325" i="1"/>
  <c r="D325" i="1"/>
  <c r="D361" i="1"/>
  <c r="D362" i="1"/>
  <c r="D363" i="1"/>
  <c r="C364" i="1"/>
  <c r="D364" i="1"/>
  <c r="C365" i="1"/>
  <c r="D365" i="1"/>
  <c r="C366" i="1"/>
  <c r="D366" i="1"/>
  <c r="D367" i="1"/>
  <c r="D368" i="1"/>
  <c r="D369" i="1"/>
  <c r="D370" i="1"/>
  <c r="D371" i="1"/>
  <c r="C372" i="1"/>
  <c r="D372" i="1"/>
  <c r="D409" i="1"/>
  <c r="D410" i="1"/>
  <c r="D411" i="1"/>
  <c r="C412" i="1"/>
  <c r="D412" i="1"/>
  <c r="C413" i="1"/>
  <c r="D413" i="1"/>
  <c r="C414" i="1"/>
  <c r="D414" i="1"/>
  <c r="D415" i="1"/>
  <c r="D416" i="1"/>
  <c r="D417" i="1"/>
  <c r="B417" i="1"/>
  <c r="D418" i="1"/>
  <c r="D419" i="1"/>
  <c r="C420" i="1"/>
  <c r="D420" i="1"/>
  <c r="D457" i="1"/>
  <c r="D458" i="1"/>
  <c r="D459" i="1"/>
  <c r="C460" i="1"/>
  <c r="D460" i="1"/>
  <c r="C461" i="1"/>
  <c r="D461" i="1"/>
  <c r="D462" i="1"/>
  <c r="D463" i="1"/>
  <c r="D464" i="1"/>
  <c r="D465" i="1"/>
  <c r="B465" i="1"/>
  <c r="D466" i="1"/>
  <c r="D467" i="1"/>
  <c r="C468" i="1"/>
  <c r="D468" i="1"/>
  <c r="D481" i="1"/>
  <c r="D482" i="1"/>
  <c r="D483" i="1"/>
  <c r="C484" i="1"/>
  <c r="D484" i="1"/>
  <c r="C485" i="1"/>
  <c r="D485" i="1"/>
  <c r="C486" i="1"/>
  <c r="D486" i="1"/>
  <c r="D487" i="1"/>
  <c r="D488" i="1"/>
  <c r="D489" i="1"/>
  <c r="B489" i="1"/>
  <c r="D490" i="1"/>
  <c r="D491" i="1"/>
  <c r="C492" i="1"/>
  <c r="D492" i="1"/>
  <c r="D433" i="1"/>
  <c r="D434" i="1"/>
  <c r="D435" i="1"/>
  <c r="C436" i="1"/>
  <c r="D436" i="1"/>
  <c r="C437" i="1"/>
  <c r="D437" i="1"/>
  <c r="D438" i="1"/>
  <c r="D439" i="1"/>
  <c r="D440" i="1"/>
  <c r="D441" i="1"/>
  <c r="B441" i="1"/>
  <c r="D442" i="1"/>
  <c r="D443" i="1"/>
  <c r="C444" i="1"/>
  <c r="B443" i="1"/>
  <c r="D444" i="1"/>
  <c r="D385" i="1"/>
  <c r="D386" i="1"/>
  <c r="D387" i="1"/>
  <c r="C388" i="1"/>
  <c r="D388" i="1"/>
  <c r="C389" i="1"/>
  <c r="D389" i="1"/>
  <c r="D390" i="1"/>
  <c r="D391" i="1"/>
  <c r="D392" i="1"/>
  <c r="D393" i="1"/>
  <c r="B393" i="1"/>
  <c r="D394" i="1"/>
  <c r="D395" i="1"/>
  <c r="C396" i="1"/>
  <c r="D396" i="1"/>
  <c r="D338" i="1"/>
  <c r="D339" i="1"/>
  <c r="D340" i="1"/>
  <c r="C341" i="1"/>
  <c r="D341" i="1"/>
  <c r="C342" i="1"/>
  <c r="D342" i="1"/>
  <c r="D343" i="1"/>
  <c r="C344" i="1"/>
  <c r="D344" i="1"/>
  <c r="D345" i="1"/>
  <c r="D346" i="1"/>
  <c r="B346" i="1"/>
  <c r="D347" i="1"/>
  <c r="D348" i="1"/>
  <c r="C349" i="1"/>
  <c r="D349" i="1"/>
  <c r="D288" i="1"/>
  <c r="D289" i="1"/>
  <c r="D290" i="1"/>
  <c r="C291" i="1"/>
  <c r="D291" i="1"/>
  <c r="C292" i="1"/>
  <c r="D292" i="1"/>
  <c r="D293" i="1"/>
  <c r="D294" i="1"/>
  <c r="D295" i="1"/>
  <c r="D296" i="1"/>
  <c r="D297" i="1"/>
  <c r="D298" i="1"/>
  <c r="C299" i="1"/>
  <c r="D299" i="1"/>
  <c r="D240" i="1"/>
  <c r="D241" i="1"/>
  <c r="D242" i="1"/>
  <c r="C243" i="1"/>
  <c r="D243" i="1"/>
  <c r="C244" i="1"/>
  <c r="D244" i="1"/>
  <c r="C245" i="1"/>
  <c r="D245" i="1"/>
  <c r="D246" i="1"/>
  <c r="D247" i="1"/>
  <c r="D248" i="1"/>
  <c r="B248" i="1"/>
  <c r="D249" i="1"/>
  <c r="D250" i="1"/>
  <c r="C251" i="1"/>
  <c r="D251" i="1"/>
  <c r="D192" i="1"/>
  <c r="D193" i="1"/>
  <c r="D194" i="1"/>
  <c r="C195" i="1"/>
  <c r="D195" i="1"/>
  <c r="C196" i="1"/>
  <c r="D196" i="1"/>
  <c r="C197" i="1"/>
  <c r="D197" i="1"/>
  <c r="D198" i="1"/>
  <c r="D199" i="1"/>
  <c r="D200" i="1"/>
  <c r="B200" i="1"/>
  <c r="D201" i="1"/>
  <c r="D202" i="1"/>
  <c r="C203" i="1"/>
  <c r="D203" i="1"/>
  <c r="D144" i="1"/>
  <c r="D145" i="1"/>
  <c r="D146" i="1"/>
  <c r="C147" i="1"/>
  <c r="D147" i="1"/>
  <c r="C148" i="1"/>
  <c r="D148" i="1"/>
  <c r="D149" i="1"/>
  <c r="D150" i="1"/>
  <c r="D151" i="1"/>
  <c r="D152" i="1"/>
  <c r="B152" i="1"/>
  <c r="D153" i="1"/>
  <c r="D154" i="1"/>
  <c r="C155" i="1"/>
  <c r="D155" i="1"/>
  <c r="D96" i="1"/>
  <c r="D97" i="1"/>
  <c r="D98" i="1"/>
  <c r="C99" i="1"/>
  <c r="D99" i="1"/>
  <c r="C100" i="1"/>
  <c r="D100" i="1"/>
  <c r="D101" i="1"/>
  <c r="D102" i="1"/>
  <c r="D103" i="1"/>
  <c r="D104" i="1"/>
  <c r="B104" i="1"/>
  <c r="D105" i="1"/>
  <c r="D106" i="1"/>
  <c r="C107" i="1"/>
  <c r="D107" i="1"/>
  <c r="D47" i="1"/>
  <c r="D48" i="1"/>
  <c r="D49" i="1"/>
  <c r="C50" i="1"/>
  <c r="D50" i="1"/>
  <c r="C51" i="1"/>
  <c r="D51" i="1"/>
  <c r="C52" i="1"/>
  <c r="D52" i="1"/>
  <c r="D53" i="1"/>
  <c r="D54" i="1"/>
  <c r="D55" i="1"/>
  <c r="B55" i="1"/>
  <c r="D56" i="1"/>
  <c r="D57" i="1"/>
  <c r="C58" i="1"/>
  <c r="D58" i="1"/>
  <c r="D80" i="1"/>
  <c r="D81" i="1"/>
  <c r="D82" i="1"/>
  <c r="D90" i="7"/>
  <c r="C17" i="10" s="1"/>
  <c r="D91" i="7"/>
  <c r="D92" i="7"/>
  <c r="D93" i="7"/>
  <c r="D94" i="7"/>
  <c r="D95" i="7"/>
  <c r="D96" i="7"/>
  <c r="D97" i="7"/>
  <c r="D98" i="7"/>
  <c r="D99" i="7"/>
  <c r="D100" i="7"/>
  <c r="E54" i="6"/>
  <c r="B165" i="6"/>
  <c r="B164" i="6"/>
  <c r="E55" i="6"/>
  <c r="E56" i="6"/>
  <c r="E57" i="6"/>
  <c r="E58" i="6"/>
  <c r="E66" i="15"/>
  <c r="B66" i="15"/>
  <c r="C66" i="15"/>
  <c r="E63" i="15"/>
  <c r="E64" i="15"/>
  <c r="D65" i="15"/>
  <c r="E233" i="7"/>
  <c r="D51" i="15" s="1"/>
  <c r="E234" i="7"/>
  <c r="E52" i="15" s="1"/>
  <c r="E235" i="7"/>
  <c r="E53" i="15" s="1"/>
  <c r="D50" i="15"/>
  <c r="F235" i="7"/>
  <c r="F234" i="7"/>
  <c r="F233" i="7"/>
  <c r="D18" i="15"/>
  <c r="D16" i="15"/>
  <c r="D17" i="15"/>
  <c r="D33" i="15"/>
  <c r="D34" i="15"/>
  <c r="D35" i="15"/>
  <c r="D36" i="15"/>
  <c r="D32" i="15"/>
  <c r="E31" i="15"/>
  <c r="D31" i="15"/>
  <c r="D29" i="15"/>
  <c r="D30" i="15"/>
  <c r="D28" i="15"/>
  <c r="B31" i="15"/>
  <c r="C31" i="15"/>
  <c r="D19" i="15"/>
  <c r="D20" i="15"/>
  <c r="D21" i="15"/>
  <c r="D22" i="15"/>
  <c r="D23" i="15"/>
  <c r="B226" i="13"/>
  <c r="F89" i="7"/>
  <c r="E16" i="10" s="1"/>
  <c r="G16" i="10" s="1"/>
  <c r="F90" i="7"/>
  <c r="E17" i="10" s="1"/>
  <c r="F91" i="7"/>
  <c r="E18" i="10" s="1"/>
  <c r="F92" i="7"/>
  <c r="E19" i="10" s="1"/>
  <c r="F94" i="7"/>
  <c r="E21" i="10" s="1"/>
  <c r="F95" i="7"/>
  <c r="E22" i="10" s="1"/>
  <c r="F96" i="7"/>
  <c r="E23" i="10" s="1"/>
  <c r="F97" i="7"/>
  <c r="E24" i="10"/>
  <c r="F98" i="7"/>
  <c r="E25" i="10" s="1"/>
  <c r="F99" i="7"/>
  <c r="E26" i="10" s="1"/>
  <c r="F100" i="7"/>
  <c r="E27" i="10" s="1"/>
  <c r="F93" i="7"/>
  <c r="E20" i="10"/>
  <c r="D42" i="7"/>
  <c r="F42" i="7"/>
  <c r="H42" i="7"/>
  <c r="J42" i="7"/>
  <c r="D43" i="7"/>
  <c r="F43" i="7"/>
  <c r="H43" i="7"/>
  <c r="J43" i="7"/>
  <c r="D44" i="7"/>
  <c r="F44" i="7"/>
  <c r="H44" i="7"/>
  <c r="J44" i="7"/>
  <c r="D45" i="7"/>
  <c r="F45" i="7"/>
  <c r="H45" i="7"/>
  <c r="J45" i="7"/>
  <c r="D46" i="7"/>
  <c r="F46" i="7"/>
  <c r="H46" i="7"/>
  <c r="J46" i="7"/>
  <c r="D47" i="7"/>
  <c r="F47" i="7"/>
  <c r="H47" i="7"/>
  <c r="J47" i="7"/>
  <c r="D48" i="7"/>
  <c r="F48" i="7"/>
  <c r="H48" i="7"/>
  <c r="J48" i="7"/>
  <c r="D49" i="7"/>
  <c r="F49" i="7"/>
  <c r="H49" i="7"/>
  <c r="J49" i="7"/>
  <c r="D17" i="10"/>
  <c r="C18" i="10"/>
  <c r="D18" i="10"/>
  <c r="C19" i="10"/>
  <c r="D19" i="10"/>
  <c r="C20" i="10"/>
  <c r="D20" i="10"/>
  <c r="C21" i="10"/>
  <c r="D21" i="10"/>
  <c r="C22" i="10"/>
  <c r="D22" i="10"/>
  <c r="C23" i="10"/>
  <c r="D23" i="10"/>
  <c r="C24" i="10"/>
  <c r="D24" i="10"/>
  <c r="C25" i="10"/>
  <c r="D25" i="10"/>
  <c r="C26" i="10"/>
  <c r="D26" i="10"/>
  <c r="C27" i="10"/>
  <c r="D27" i="10"/>
  <c r="D16" i="10"/>
  <c r="C41" i="15"/>
  <c r="C80" i="15" s="1"/>
  <c r="D41" i="15"/>
  <c r="B41" i="15"/>
  <c r="B203" i="13"/>
  <c r="B204" i="13"/>
  <c r="B205" i="13"/>
  <c r="B206" i="13"/>
  <c r="B207" i="13"/>
  <c r="B208" i="13"/>
  <c r="B209" i="13"/>
  <c r="B210" i="13"/>
  <c r="B211" i="13"/>
  <c r="B201" i="13"/>
  <c r="B183" i="13"/>
  <c r="B184" i="13"/>
  <c r="B185" i="13"/>
  <c r="B186" i="13"/>
  <c r="B187" i="13"/>
  <c r="B188" i="13"/>
  <c r="B189" i="13"/>
  <c r="B190" i="13"/>
  <c r="B191" i="13"/>
  <c r="B181" i="13"/>
  <c r="B163" i="13"/>
  <c r="B164" i="13"/>
  <c r="B165" i="13"/>
  <c r="B166" i="13"/>
  <c r="B167" i="13"/>
  <c r="B168" i="13"/>
  <c r="B169" i="13"/>
  <c r="B170" i="13"/>
  <c r="B171" i="13"/>
  <c r="B161" i="13"/>
  <c r="B143" i="13"/>
  <c r="B144" i="13"/>
  <c r="B145" i="13"/>
  <c r="B146" i="13"/>
  <c r="B147" i="13"/>
  <c r="B148" i="13"/>
  <c r="B149" i="13"/>
  <c r="B150" i="13"/>
  <c r="B151" i="13"/>
  <c r="B141" i="13"/>
  <c r="B123" i="13"/>
  <c r="B124" i="13"/>
  <c r="B125" i="13"/>
  <c r="B126" i="13"/>
  <c r="B127" i="13"/>
  <c r="B128" i="13"/>
  <c r="B129" i="13"/>
  <c r="B130" i="13"/>
  <c r="B131" i="13"/>
  <c r="B121" i="13"/>
  <c r="B103" i="13"/>
  <c r="B104" i="13"/>
  <c r="B105" i="13"/>
  <c r="B106" i="13"/>
  <c r="B107" i="13"/>
  <c r="B108" i="13"/>
  <c r="B109" i="13"/>
  <c r="B110" i="13"/>
  <c r="B111" i="13"/>
  <c r="B101" i="13"/>
  <c r="B83" i="13"/>
  <c r="B84" i="13"/>
  <c r="B85" i="13"/>
  <c r="B86" i="13"/>
  <c r="B87" i="13"/>
  <c r="B88" i="13"/>
  <c r="B89" i="13"/>
  <c r="B90" i="13"/>
  <c r="B91" i="13"/>
  <c r="B81" i="13"/>
  <c r="B63" i="13"/>
  <c r="B64" i="13"/>
  <c r="B65" i="13"/>
  <c r="B66" i="13"/>
  <c r="B67" i="13"/>
  <c r="B68" i="13"/>
  <c r="B69" i="13"/>
  <c r="B70" i="13"/>
  <c r="B71" i="13"/>
  <c r="B61" i="13"/>
  <c r="B43" i="13"/>
  <c r="B44" i="13"/>
  <c r="B45" i="13"/>
  <c r="B46" i="13"/>
  <c r="B47" i="13"/>
  <c r="B48" i="13"/>
  <c r="B49" i="13"/>
  <c r="B50" i="13"/>
  <c r="B51" i="13"/>
  <c r="B41" i="13"/>
  <c r="B23" i="13"/>
  <c r="B24" i="13"/>
  <c r="B25" i="13"/>
  <c r="B26" i="13"/>
  <c r="B27" i="13"/>
  <c r="B28" i="13"/>
  <c r="B29" i="13"/>
  <c r="B30" i="13"/>
  <c r="B31" i="13"/>
  <c r="B21" i="13"/>
  <c r="B202" i="13"/>
  <c r="B182" i="13"/>
  <c r="B162" i="13"/>
  <c r="B142" i="13"/>
  <c r="B122" i="13"/>
  <c r="B102" i="13"/>
  <c r="B82" i="13"/>
  <c r="B62" i="13"/>
  <c r="B42" i="13"/>
  <c r="B22" i="13"/>
  <c r="B200" i="13"/>
  <c r="B180" i="13"/>
  <c r="B160" i="13"/>
  <c r="B140" i="13"/>
  <c r="B120" i="13"/>
  <c r="B100" i="13"/>
  <c r="B80" i="13"/>
  <c r="B60" i="13"/>
  <c r="B40" i="13"/>
  <c r="B20" i="13"/>
  <c r="B195" i="13"/>
  <c r="B175" i="13"/>
  <c r="B155" i="13"/>
  <c r="B135" i="13"/>
  <c r="B115" i="13"/>
  <c r="B95" i="13"/>
  <c r="B75" i="13"/>
  <c r="B55" i="13"/>
  <c r="B35" i="13"/>
  <c r="B15" i="13"/>
  <c r="F38" i="7"/>
  <c r="H38" i="7"/>
  <c r="J38" i="7"/>
  <c r="D39" i="7"/>
  <c r="F39" i="7"/>
  <c r="H39" i="7"/>
  <c r="J39" i="7"/>
  <c r="D40" i="7"/>
  <c r="F40" i="7"/>
  <c r="H40" i="7"/>
  <c r="J40" i="7"/>
  <c r="D41" i="7"/>
  <c r="F41" i="7"/>
  <c r="H41" i="7"/>
  <c r="J41" i="7"/>
  <c r="C188" i="1"/>
  <c r="C43" i="1"/>
  <c r="D76" i="15"/>
  <c r="C76" i="15"/>
  <c r="C81" i="15" s="1"/>
  <c r="C84" i="15"/>
  <c r="B76" i="15"/>
  <c r="B68" i="15"/>
  <c r="C68" i="15"/>
  <c r="D68" i="15"/>
  <c r="F68" i="15" s="1"/>
  <c r="E68" i="15"/>
  <c r="B69" i="15"/>
  <c r="C69" i="15"/>
  <c r="D69" i="15"/>
  <c r="E69" i="15"/>
  <c r="F69" i="15" s="1"/>
  <c r="B70" i="15"/>
  <c r="C70" i="15"/>
  <c r="D70" i="15"/>
  <c r="E70" i="15"/>
  <c r="F70" i="15" s="1"/>
  <c r="B71" i="15"/>
  <c r="C71" i="15"/>
  <c r="D71" i="15"/>
  <c r="E71" i="15"/>
  <c r="C67" i="15"/>
  <c r="D67" i="15"/>
  <c r="F67" i="15" s="1"/>
  <c r="E67" i="15"/>
  <c r="B67" i="15"/>
  <c r="C65" i="15"/>
  <c r="B65" i="15"/>
  <c r="C64" i="15"/>
  <c r="B64" i="15"/>
  <c r="C63" i="15"/>
  <c r="B63" i="15"/>
  <c r="B55" i="15"/>
  <c r="C55" i="15"/>
  <c r="D55" i="15"/>
  <c r="E55" i="15"/>
  <c r="B56" i="15"/>
  <c r="C56" i="15"/>
  <c r="D56" i="15"/>
  <c r="E56" i="15"/>
  <c r="F56" i="15" s="1"/>
  <c r="B57" i="15"/>
  <c r="C57" i="15"/>
  <c r="D57" i="15"/>
  <c r="E57" i="15"/>
  <c r="F57" i="15" s="1"/>
  <c r="B58" i="15"/>
  <c r="C58" i="15"/>
  <c r="D58" i="15"/>
  <c r="E58" i="15"/>
  <c r="C54" i="15"/>
  <c r="D54" i="15"/>
  <c r="F54" i="15" s="1"/>
  <c r="E54" i="15"/>
  <c r="B54" i="15"/>
  <c r="B51" i="15"/>
  <c r="C51" i="15"/>
  <c r="B52" i="15"/>
  <c r="C52" i="15"/>
  <c r="B53" i="15"/>
  <c r="C53" i="15"/>
  <c r="C50" i="15"/>
  <c r="B50" i="15"/>
  <c r="E32" i="15"/>
  <c r="E33" i="15"/>
  <c r="B33" i="15"/>
  <c r="C33" i="15"/>
  <c r="B34" i="15"/>
  <c r="C34" i="15"/>
  <c r="E34" i="15"/>
  <c r="B35" i="15"/>
  <c r="C35" i="15"/>
  <c r="E35" i="15"/>
  <c r="B36" i="15"/>
  <c r="C36" i="15"/>
  <c r="E36" i="15"/>
  <c r="C32" i="15"/>
  <c r="B32" i="15"/>
  <c r="B20" i="15"/>
  <c r="C20" i="15"/>
  <c r="E20" i="15"/>
  <c r="B21" i="15"/>
  <c r="C21" i="15"/>
  <c r="E21" i="15"/>
  <c r="B22" i="15"/>
  <c r="C22" i="15"/>
  <c r="E22" i="15"/>
  <c r="B23" i="15"/>
  <c r="C23" i="15"/>
  <c r="E23" i="15"/>
  <c r="E19" i="15"/>
  <c r="C19" i="15"/>
  <c r="B19" i="15"/>
  <c r="B29" i="15"/>
  <c r="C29" i="15"/>
  <c r="F242" i="6"/>
  <c r="E29" i="15" s="1"/>
  <c r="B30" i="15"/>
  <c r="C30" i="15"/>
  <c r="F243" i="6"/>
  <c r="E30" i="15" s="1"/>
  <c r="C28" i="15"/>
  <c r="E28" i="15"/>
  <c r="B16" i="15"/>
  <c r="C16" i="15"/>
  <c r="B17" i="15"/>
  <c r="C17" i="15"/>
  <c r="B18" i="15"/>
  <c r="C18" i="15"/>
  <c r="C15" i="15"/>
  <c r="E15" i="15"/>
  <c r="B28" i="15"/>
  <c r="B15" i="15"/>
  <c r="B81" i="1"/>
  <c r="B79" i="1"/>
  <c r="C82" i="1"/>
  <c r="C477" i="1"/>
  <c r="C453" i="1"/>
  <c r="B453" i="1"/>
  <c r="B477" i="1" s="1"/>
  <c r="C429" i="1"/>
  <c r="C405" i="1"/>
  <c r="B405" i="1"/>
  <c r="B429" i="1" s="1"/>
  <c r="C381" i="1"/>
  <c r="C357" i="1"/>
  <c r="B357" i="1"/>
  <c r="B381" i="1" s="1"/>
  <c r="C334" i="1"/>
  <c r="B310" i="1"/>
  <c r="B334" i="1" s="1"/>
  <c r="C310" i="1"/>
  <c r="C284" i="1"/>
  <c r="C260" i="1"/>
  <c r="B260" i="1"/>
  <c r="B284" i="1" s="1"/>
  <c r="C236" i="1"/>
  <c r="C211" i="1"/>
  <c r="B211" i="1"/>
  <c r="B236" i="1" s="1"/>
  <c r="C164" i="1"/>
  <c r="B164" i="1"/>
  <c r="B188" i="1" s="1"/>
  <c r="C140" i="1"/>
  <c r="C116" i="1"/>
  <c r="C92" i="1"/>
  <c r="C67" i="1"/>
  <c r="B116" i="1"/>
  <c r="B140" i="1" s="1"/>
  <c r="B67" i="1"/>
  <c r="B92" i="1" s="1"/>
  <c r="C19" i="1"/>
  <c r="B34" i="9"/>
  <c r="B33" i="3" s="1"/>
  <c r="B35" i="9"/>
  <c r="B34" i="3" s="1"/>
  <c r="B36" i="9"/>
  <c r="B35" i="3" s="1"/>
  <c r="B37" i="9"/>
  <c r="B36" i="3" s="1"/>
  <c r="B38" i="9"/>
  <c r="B37" i="3" s="1"/>
  <c r="B39" i="9"/>
  <c r="B38" i="3" s="1"/>
  <c r="B40" i="9"/>
  <c r="B39" i="3" s="1"/>
  <c r="B41" i="9"/>
  <c r="B40" i="3" s="1"/>
  <c r="B42" i="9"/>
  <c r="B41" i="3" s="1"/>
  <c r="B43" i="9"/>
  <c r="B42" i="3" s="1"/>
  <c r="B33" i="9"/>
  <c r="B32" i="3" s="1"/>
  <c r="B32" i="9"/>
  <c r="B31" i="3" s="1"/>
  <c r="B31" i="9"/>
  <c r="B30" i="3" s="1"/>
  <c r="B157" i="8"/>
  <c r="B143" i="8"/>
  <c r="B129" i="8"/>
  <c r="B115" i="8"/>
  <c r="B101" i="8"/>
  <c r="B87" i="8"/>
  <c r="B73" i="8"/>
  <c r="B59" i="8"/>
  <c r="B45" i="8"/>
  <c r="B31" i="8"/>
  <c r="B17" i="8"/>
  <c r="C9" i="3"/>
  <c r="B205" i="6"/>
  <c r="B204" i="6"/>
  <c r="B203" i="6"/>
  <c r="B202" i="6"/>
  <c r="B201" i="6"/>
  <c r="B200" i="6"/>
  <c r="B199" i="6"/>
  <c r="B198" i="6"/>
  <c r="B197" i="6"/>
  <c r="B196" i="6"/>
  <c r="B192" i="6"/>
  <c r="B191" i="6"/>
  <c r="B119" i="8"/>
  <c r="B65" i="8"/>
  <c r="B105" i="8"/>
  <c r="B91" i="8"/>
  <c r="B21" i="8"/>
  <c r="B93" i="8"/>
  <c r="B149" i="8"/>
  <c r="F58" i="15"/>
  <c r="L196" i="7"/>
  <c r="B37" i="8"/>
  <c r="B135" i="8"/>
  <c r="B163" i="8"/>
  <c r="B68" i="8"/>
  <c r="B52" i="8"/>
  <c r="B79" i="8"/>
  <c r="B107" i="8"/>
  <c r="B224" i="13"/>
  <c r="B23" i="8"/>
  <c r="B51" i="8"/>
  <c r="B82" i="8"/>
  <c r="B110" i="8"/>
  <c r="B138" i="8"/>
  <c r="B223" i="13"/>
  <c r="B21" i="9"/>
  <c r="B21" i="3" s="1"/>
  <c r="B221" i="13"/>
  <c r="B19" i="9"/>
  <c r="B19" i="3" s="1"/>
  <c r="E65" i="15"/>
  <c r="C102" i="1" l="1"/>
  <c r="D227" i="13"/>
  <c r="B108" i="8"/>
  <c r="C362" i="1"/>
  <c r="F33" i="15"/>
  <c r="C315" i="1"/>
  <c r="D223" i="13"/>
  <c r="C434" i="1"/>
  <c r="C466" i="1"/>
  <c r="C132" i="8"/>
  <c r="B78" i="8"/>
  <c r="C160" i="8"/>
  <c r="F196" i="7"/>
  <c r="C323" i="1"/>
  <c r="J196" i="7"/>
  <c r="B28" i="8"/>
  <c r="C241" i="1"/>
  <c r="B294" i="1"/>
  <c r="B487" i="1"/>
  <c r="C273" i="1"/>
  <c r="D192" i="7"/>
  <c r="C80" i="1"/>
  <c r="B391" i="1"/>
  <c r="C482" i="1"/>
  <c r="B126" i="1"/>
  <c r="B85" i="6"/>
  <c r="B63" i="7" s="1"/>
  <c r="C32" i="1"/>
  <c r="B150" i="1"/>
  <c r="C201" i="1"/>
  <c r="C386" i="1"/>
  <c r="C459" i="1"/>
  <c r="C370" i="1"/>
  <c r="B270" i="1"/>
  <c r="B221" i="1"/>
  <c r="C121" i="1"/>
  <c r="B168" i="8"/>
  <c r="J192" i="7"/>
  <c r="C145" i="1"/>
  <c r="B154" i="8"/>
  <c r="B26" i="9"/>
  <c r="B26" i="3" s="1"/>
  <c r="D196" i="7"/>
  <c r="F20" i="15"/>
  <c r="B439" i="1"/>
  <c r="C490" i="1"/>
  <c r="C67" i="8"/>
  <c r="E196" i="7"/>
  <c r="B118" i="8"/>
  <c r="B167" i="8"/>
  <c r="B22" i="9"/>
  <c r="B22" i="3" s="1"/>
  <c r="B112" i="8"/>
  <c r="B80" i="8"/>
  <c r="B218" i="1"/>
  <c r="C151" i="8"/>
  <c r="E192" i="7"/>
  <c r="B122" i="8"/>
  <c r="L192" i="7"/>
  <c r="B97" i="8"/>
  <c r="B70" i="8"/>
  <c r="B38" i="8"/>
  <c r="B164" i="8"/>
  <c r="C150" i="1"/>
  <c r="C391" i="1"/>
  <c r="C37" i="8"/>
  <c r="B66" i="8"/>
  <c r="B56" i="8"/>
  <c r="B228" i="13"/>
  <c r="C463" i="1"/>
  <c r="C137" i="8"/>
  <c r="B84" i="8"/>
  <c r="B126" i="8"/>
  <c r="B136" i="8"/>
  <c r="C53" i="1"/>
  <c r="C439" i="1"/>
  <c r="C174" i="1"/>
  <c r="D225" i="13"/>
  <c r="C165" i="8"/>
  <c r="B140" i="8"/>
  <c r="B150" i="8"/>
  <c r="B98" i="8"/>
  <c r="B42" i="8"/>
  <c r="C415" i="1"/>
  <c r="C192" i="7"/>
  <c r="I192" i="7"/>
  <c r="F35" i="15"/>
  <c r="C194" i="1"/>
  <c r="C163" i="8"/>
  <c r="C112" i="8"/>
  <c r="C79" i="8"/>
  <c r="C52" i="8"/>
  <c r="C20" i="8"/>
  <c r="G192" i="7"/>
  <c r="F23" i="15"/>
  <c r="B103" i="1"/>
  <c r="G190" i="6"/>
  <c r="G194" i="6" s="1"/>
  <c r="G206" i="6" s="1"/>
  <c r="C121" i="8"/>
  <c r="B345" i="1"/>
  <c r="C135" i="8"/>
  <c r="C93" i="8"/>
  <c r="C51" i="8"/>
  <c r="K190" i="6"/>
  <c r="K194" i="6" s="1"/>
  <c r="K206" i="6" s="1"/>
  <c r="C411" i="1"/>
  <c r="C98" i="8"/>
  <c r="C65" i="8"/>
  <c r="I196" i="7"/>
  <c r="C196" i="7"/>
  <c r="B54" i="1"/>
  <c r="C149" i="8"/>
  <c r="C107" i="8"/>
  <c r="C202" i="1"/>
  <c r="B295" i="1"/>
  <c r="C491" i="1"/>
  <c r="C467" i="1"/>
  <c r="B175" i="1"/>
  <c r="C122" i="1"/>
  <c r="C167" i="8"/>
  <c r="C148" i="8"/>
  <c r="C139" i="8"/>
  <c r="C78" i="8"/>
  <c r="C69" i="8"/>
  <c r="C64" i="8"/>
  <c r="B147" i="8"/>
  <c r="B26" i="8"/>
  <c r="B76" i="8"/>
  <c r="C81" i="1"/>
  <c r="B53" i="1"/>
  <c r="B102" i="1"/>
  <c r="C154" i="1"/>
  <c r="C146" i="1"/>
  <c r="C193" i="1"/>
  <c r="C249" i="1"/>
  <c r="B344" i="1"/>
  <c r="C395" i="1"/>
  <c r="C387" i="1"/>
  <c r="C443" i="1"/>
  <c r="C435" i="1"/>
  <c r="C487" i="1"/>
  <c r="C483" i="1"/>
  <c r="C458" i="1"/>
  <c r="C418" i="1"/>
  <c r="C410" i="1"/>
  <c r="B271" i="1"/>
  <c r="C130" i="1"/>
  <c r="B29" i="1"/>
  <c r="C152" i="8"/>
  <c r="C134" i="8"/>
  <c r="C120" i="8"/>
  <c r="C111" i="8"/>
  <c r="C106" i="8"/>
  <c r="C97" i="8"/>
  <c r="C83" i="8"/>
  <c r="C53" i="8"/>
  <c r="C73" i="1"/>
  <c r="C348" i="1"/>
  <c r="C49" i="1"/>
  <c r="B416" i="1"/>
  <c r="B78" i="1"/>
  <c r="B54" i="8"/>
  <c r="B49" i="8"/>
  <c r="B107" i="1"/>
  <c r="K192" i="7"/>
  <c r="C97" i="1"/>
  <c r="C153" i="1"/>
  <c r="B246" i="1"/>
  <c r="C298" i="1"/>
  <c r="C294" i="1"/>
  <c r="C339" i="1"/>
  <c r="C394" i="1"/>
  <c r="C442" i="1"/>
  <c r="B367" i="1"/>
  <c r="B320" i="1"/>
  <c r="C274" i="1"/>
  <c r="C266" i="1"/>
  <c r="C169" i="1"/>
  <c r="C129" i="1"/>
  <c r="C33" i="1"/>
  <c r="C109" i="8"/>
  <c r="C95" i="8"/>
  <c r="C36" i="8"/>
  <c r="C72" i="1"/>
  <c r="C340" i="1"/>
  <c r="B25" i="8"/>
  <c r="B325" i="1"/>
  <c r="C105" i="1"/>
  <c r="C242" i="1"/>
  <c r="C289" i="1"/>
  <c r="B415" i="1"/>
  <c r="C321" i="1"/>
  <c r="C316" i="1"/>
  <c r="C270" i="1"/>
  <c r="B222" i="1"/>
  <c r="D228" i="13"/>
  <c r="C24" i="1"/>
  <c r="C164" i="8"/>
  <c r="C136" i="8"/>
  <c r="C57" i="1"/>
  <c r="C106" i="1"/>
  <c r="C98" i="1"/>
  <c r="B368" i="1"/>
  <c r="B321" i="1"/>
  <c r="C170" i="1"/>
  <c r="D222" i="13"/>
  <c r="B30" i="1"/>
  <c r="C125" i="8"/>
  <c r="C290" i="1"/>
  <c r="C178" i="1"/>
  <c r="B152" i="8"/>
  <c r="B77" i="8"/>
  <c r="B133" i="8"/>
  <c r="C56" i="1"/>
  <c r="C48" i="1"/>
  <c r="B199" i="1"/>
  <c r="C347" i="1"/>
  <c r="B488" i="1"/>
  <c r="C324" i="1"/>
  <c r="B40" i="8"/>
  <c r="B124" i="8"/>
  <c r="B123" i="8"/>
  <c r="B151" i="1"/>
  <c r="C250" i="1"/>
  <c r="C297" i="1"/>
  <c r="B392" i="1"/>
  <c r="B440" i="1"/>
  <c r="B463" i="1"/>
  <c r="C419" i="1"/>
  <c r="C371" i="1"/>
  <c r="C367" i="1"/>
  <c r="C363" i="1"/>
  <c r="C265" i="1"/>
  <c r="C177" i="1"/>
  <c r="B127" i="1"/>
  <c r="B86" i="6"/>
  <c r="B118" i="7" s="1"/>
  <c r="C25" i="1"/>
  <c r="C168" i="8"/>
  <c r="C140" i="8"/>
  <c r="C94" i="8"/>
  <c r="C70" i="8"/>
  <c r="C27" i="8"/>
  <c r="H192" i="7"/>
  <c r="D226" i="13"/>
  <c r="C157" i="7"/>
  <c r="C24" i="8"/>
  <c r="H196" i="7"/>
  <c r="F22" i="15"/>
  <c r="F34" i="15"/>
  <c r="C56" i="8"/>
  <c r="F21" i="15"/>
  <c r="C124" i="8"/>
  <c r="C110" i="8"/>
  <c r="C82" i="8"/>
  <c r="C68" i="8"/>
  <c r="B227" i="13"/>
  <c r="B41" i="8"/>
  <c r="F17" i="15"/>
  <c r="F19" i="15"/>
  <c r="D221" i="13"/>
  <c r="C152" i="7"/>
  <c r="B111" i="8"/>
  <c r="B125" i="8"/>
  <c r="C133" i="8"/>
  <c r="C63" i="8"/>
  <c r="C55" i="8"/>
  <c r="C21" i="8"/>
  <c r="B25" i="9"/>
  <c r="B25" i="3" s="1"/>
  <c r="C49" i="8"/>
  <c r="C41" i="8"/>
  <c r="B139" i="8"/>
  <c r="B69" i="8"/>
  <c r="C161" i="8"/>
  <c r="C105" i="8"/>
  <c r="C150" i="7"/>
  <c r="C154" i="7"/>
  <c r="B55" i="8"/>
  <c r="B83" i="8"/>
  <c r="C147" i="8"/>
  <c r="C91" i="8"/>
  <c r="B151" i="8"/>
  <c r="B225" i="13"/>
  <c r="B95" i="8"/>
  <c r="B23" i="9"/>
  <c r="B23" i="3" s="1"/>
  <c r="B137" i="8"/>
  <c r="B53" i="8"/>
  <c r="B67" i="8"/>
  <c r="B39" i="8"/>
  <c r="B109" i="8"/>
  <c r="B222" i="13"/>
  <c r="B134" i="8"/>
  <c r="B148" i="8"/>
  <c r="B64" i="8"/>
  <c r="B50" i="8"/>
  <c r="B106" i="8"/>
  <c r="B22" i="8"/>
  <c r="B20" i="9"/>
  <c r="B20" i="3" s="1"/>
  <c r="B36" i="8"/>
  <c r="B92" i="8"/>
  <c r="C104" i="6"/>
  <c r="D104" i="6" s="1"/>
  <c r="F16" i="15"/>
  <c r="F32" i="15"/>
  <c r="B90" i="8"/>
  <c r="B220" i="13"/>
  <c r="B132" i="8"/>
  <c r="B146" i="8"/>
  <c r="B62" i="8"/>
  <c r="B104" i="8"/>
  <c r="B48" i="8"/>
  <c r="B20" i="8"/>
  <c r="B18" i="9"/>
  <c r="B18" i="3" s="1"/>
  <c r="B160" i="8"/>
  <c r="B131" i="8"/>
  <c r="B75" i="8"/>
  <c r="B103" i="8"/>
  <c r="B61" i="8"/>
  <c r="B89" i="8"/>
  <c r="B33" i="8"/>
  <c r="B58" i="1"/>
  <c r="B299" i="1"/>
  <c r="C198" i="1"/>
  <c r="C246" i="1"/>
  <c r="C127" i="1"/>
  <c r="B131" i="1"/>
  <c r="C126" i="1"/>
  <c r="B155" i="1"/>
  <c r="B372" i="1"/>
  <c r="B240" i="1"/>
  <c r="C320" i="1"/>
  <c r="B179" i="1"/>
  <c r="B396" i="1"/>
  <c r="B99" i="1"/>
  <c r="B147" i="1"/>
  <c r="B195" i="1"/>
  <c r="B243" i="1"/>
  <c r="B291" i="1"/>
  <c r="B341" i="1"/>
  <c r="B388" i="1"/>
  <c r="B460" i="1"/>
  <c r="B171" i="1"/>
  <c r="B34" i="1"/>
  <c r="B203" i="1"/>
  <c r="B420" i="1"/>
  <c r="B484" i="1"/>
  <c r="B412" i="1"/>
  <c r="B364" i="1"/>
  <c r="B267" i="1"/>
  <c r="B26" i="1"/>
  <c r="B226" i="1"/>
  <c r="B444" i="1"/>
  <c r="B123" i="1"/>
  <c r="B349" i="1"/>
  <c r="B251" i="1"/>
  <c r="B492" i="1"/>
  <c r="C29" i="1"/>
  <c r="C199" i="1"/>
  <c r="C247" i="1"/>
  <c r="C295" i="1"/>
  <c r="C488" i="1"/>
  <c r="B274" i="1"/>
  <c r="B242" i="1"/>
  <c r="B298" i="1"/>
  <c r="C462" i="1"/>
  <c r="C125" i="1"/>
  <c r="B57" i="1"/>
  <c r="C101" i="1"/>
  <c r="B146" i="1"/>
  <c r="B202" i="1"/>
  <c r="C343" i="1"/>
  <c r="B435" i="1"/>
  <c r="B49" i="1"/>
  <c r="B106" i="1"/>
  <c r="B290" i="1"/>
  <c r="B348" i="1"/>
  <c r="C390" i="1"/>
  <c r="C149" i="1"/>
  <c r="B194" i="1"/>
  <c r="B250" i="1"/>
  <c r="B483" i="1"/>
  <c r="C319" i="1"/>
  <c r="C28" i="1"/>
  <c r="B266" i="1"/>
  <c r="C438" i="1"/>
  <c r="B459" i="1"/>
  <c r="C269" i="1"/>
  <c r="B98" i="1"/>
  <c r="B154" i="1"/>
  <c r="C293" i="1"/>
  <c r="B340" i="1"/>
  <c r="C173" i="1"/>
  <c r="C76" i="1"/>
  <c r="B466" i="1"/>
  <c r="B153" i="1"/>
  <c r="B297" i="1"/>
  <c r="B437" i="1"/>
  <c r="B434" i="1"/>
  <c r="B80" i="6"/>
  <c r="B132" i="7" s="1"/>
  <c r="B31" i="1"/>
  <c r="B51" i="1"/>
  <c r="B48" i="1"/>
  <c r="B249" i="1"/>
  <c r="B410" i="1"/>
  <c r="B370" i="1"/>
  <c r="B224" i="1"/>
  <c r="B193" i="1"/>
  <c r="B105" i="1"/>
  <c r="B389" i="1"/>
  <c r="B386" i="1"/>
  <c r="B268" i="1"/>
  <c r="B201" i="1"/>
  <c r="B120" i="1"/>
  <c r="B442" i="1"/>
  <c r="B323" i="1"/>
  <c r="B56" i="1"/>
  <c r="B241" i="1"/>
  <c r="B481" i="1"/>
  <c r="B145" i="1"/>
  <c r="B289" i="1"/>
  <c r="B362" i="1"/>
  <c r="B177" i="1"/>
  <c r="B88" i="6"/>
  <c r="B66" i="7" s="1"/>
  <c r="B80" i="1"/>
  <c r="B97" i="1"/>
  <c r="B394" i="1"/>
  <c r="B458" i="1"/>
  <c r="B418" i="1"/>
  <c r="B315" i="1"/>
  <c r="B172" i="1"/>
  <c r="B169" i="1"/>
  <c r="B82" i="6"/>
  <c r="B92" i="7" s="1"/>
  <c r="B96" i="1"/>
  <c r="C151" i="1"/>
  <c r="B144" i="1"/>
  <c r="B342" i="1"/>
  <c r="B461" i="1"/>
  <c r="C368" i="1"/>
  <c r="C78" i="1"/>
  <c r="B192" i="1"/>
  <c r="B413" i="1"/>
  <c r="B27" i="1"/>
  <c r="B47" i="1"/>
  <c r="C103" i="1"/>
  <c r="B385" i="1"/>
  <c r="B433" i="1"/>
  <c r="B264" i="1"/>
  <c r="B168" i="1"/>
  <c r="B83" i="6"/>
  <c r="B135" i="7" s="1"/>
  <c r="C54" i="1"/>
  <c r="B244" i="1"/>
  <c r="B292" i="1"/>
  <c r="C392" i="1"/>
  <c r="C440" i="1"/>
  <c r="B409" i="1"/>
  <c r="B318" i="1"/>
  <c r="C271" i="1"/>
  <c r="C175" i="1"/>
  <c r="B196" i="1"/>
  <c r="C296" i="1"/>
  <c r="B338" i="1"/>
  <c r="B485" i="1"/>
  <c r="C416" i="1"/>
  <c r="B124" i="1"/>
  <c r="C30" i="1"/>
  <c r="B148" i="1"/>
  <c r="C345" i="1"/>
  <c r="C385" i="1"/>
  <c r="C464" i="1"/>
  <c r="B457" i="1"/>
  <c r="B365" i="1"/>
  <c r="B361" i="1"/>
  <c r="B219" i="1"/>
  <c r="B215" i="1"/>
  <c r="B79" i="6"/>
  <c r="B111" i="7" s="1"/>
  <c r="C104" i="1"/>
  <c r="C144" i="1"/>
  <c r="B197" i="1"/>
  <c r="C346" i="1"/>
  <c r="B438" i="1"/>
  <c r="B486" i="1"/>
  <c r="B462" i="1"/>
  <c r="C128" i="1"/>
  <c r="C393" i="1"/>
  <c r="C433" i="1"/>
  <c r="C481" i="1"/>
  <c r="B366" i="1"/>
  <c r="C314" i="1"/>
  <c r="B269" i="1"/>
  <c r="C176" i="1"/>
  <c r="C152" i="1"/>
  <c r="C192" i="1"/>
  <c r="B245" i="1"/>
  <c r="C457" i="1"/>
  <c r="C409" i="1"/>
  <c r="C361" i="1"/>
  <c r="B319" i="1"/>
  <c r="C264" i="1"/>
  <c r="C31" i="1"/>
  <c r="B76" i="1"/>
  <c r="B52" i="1"/>
  <c r="C441" i="1"/>
  <c r="C489" i="1"/>
  <c r="C465" i="1"/>
  <c r="B84" i="6"/>
  <c r="B116" i="7" s="1"/>
  <c r="C71" i="1"/>
  <c r="C47" i="1"/>
  <c r="C200" i="1"/>
  <c r="C240" i="1"/>
  <c r="B293" i="1"/>
  <c r="C369" i="1"/>
  <c r="C272" i="1"/>
  <c r="C79" i="1"/>
  <c r="B101" i="1"/>
  <c r="C248" i="1"/>
  <c r="C288" i="1"/>
  <c r="B343" i="1"/>
  <c r="C417" i="1"/>
  <c r="C322" i="1"/>
  <c r="B220" i="1"/>
  <c r="B173" i="1"/>
  <c r="B125" i="1"/>
  <c r="C120" i="1"/>
  <c r="C23" i="1"/>
  <c r="B28" i="1"/>
  <c r="C55" i="1"/>
  <c r="C96" i="1"/>
  <c r="C338" i="1"/>
  <c r="B390" i="1"/>
  <c r="C168" i="1"/>
  <c r="F24" i="8"/>
  <c r="F20" i="8"/>
  <c r="F27" i="8"/>
  <c r="F30" i="15"/>
  <c r="F36" i="15"/>
  <c r="C149" i="7"/>
  <c r="C22" i="8"/>
  <c r="C40" i="8"/>
  <c r="C156" i="7"/>
  <c r="E41" i="15"/>
  <c r="E42" i="15" s="1"/>
  <c r="C166" i="8"/>
  <c r="C162" i="8"/>
  <c r="B72" i="1"/>
  <c r="B166" i="8"/>
  <c r="B94" i="8"/>
  <c r="B27" i="8"/>
  <c r="B24" i="8"/>
  <c r="B24" i="9"/>
  <c r="B24" i="3" s="1"/>
  <c r="B96" i="8"/>
  <c r="B153" i="8"/>
  <c r="B161" i="8"/>
  <c r="B34" i="8"/>
  <c r="B35" i="8"/>
  <c r="B63" i="8"/>
  <c r="B120" i="8"/>
  <c r="B81" i="8"/>
  <c r="B165" i="8"/>
  <c r="B121" i="8"/>
  <c r="B82" i="1"/>
  <c r="B275" i="1"/>
  <c r="B468" i="1"/>
  <c r="F192" i="7"/>
  <c r="B162" i="8"/>
  <c r="B50" i="1"/>
  <c r="B100" i="1"/>
  <c r="B149" i="1"/>
  <c r="B198" i="1"/>
  <c r="B247" i="1"/>
  <c r="B296" i="1"/>
  <c r="B288" i="1"/>
  <c r="B347" i="1"/>
  <c r="B339" i="1"/>
  <c r="B395" i="1"/>
  <c r="B387" i="1"/>
  <c r="B436" i="1"/>
  <c r="B490" i="1"/>
  <c r="B482" i="1"/>
  <c r="B464" i="1"/>
  <c r="B414" i="1"/>
  <c r="B369" i="1"/>
  <c r="B317" i="1"/>
  <c r="B314" i="1"/>
  <c r="B273" i="1"/>
  <c r="B265" i="1"/>
  <c r="B216" i="1"/>
  <c r="B174" i="1"/>
  <c r="B129" i="1"/>
  <c r="B121" i="1"/>
  <c r="D220" i="13"/>
  <c r="B96" i="7"/>
  <c r="B90" i="6"/>
  <c r="B23" i="1"/>
  <c r="C154" i="8"/>
  <c r="C150" i="8"/>
  <c r="C146" i="8"/>
  <c r="C123" i="8"/>
  <c r="C119" i="8"/>
  <c r="C108" i="8"/>
  <c r="C104" i="8"/>
  <c r="C81" i="8"/>
  <c r="C77" i="8"/>
  <c r="C66" i="8"/>
  <c r="C62" i="8"/>
  <c r="C39" i="8"/>
  <c r="C28" i="8"/>
  <c r="C153" i="7"/>
  <c r="C138" i="8"/>
  <c r="C96" i="8"/>
  <c r="C92" i="8"/>
  <c r="C54" i="8"/>
  <c r="B24" i="1"/>
  <c r="C126" i="8"/>
  <c r="C122" i="8"/>
  <c r="C118" i="8"/>
  <c r="F110" i="8"/>
  <c r="C84" i="8"/>
  <c r="C80" i="8"/>
  <c r="C76" i="8"/>
  <c r="F68" i="8"/>
  <c r="C151" i="7"/>
  <c r="C155" i="7"/>
  <c r="B74" i="1"/>
  <c r="C77" i="1"/>
  <c r="C74" i="1"/>
  <c r="C82" i="15"/>
  <c r="C85" i="15" s="1"/>
  <c r="B219" i="13"/>
  <c r="B117" i="8"/>
  <c r="B47" i="8"/>
  <c r="B145" i="8"/>
  <c r="B19" i="8"/>
  <c r="B159" i="8"/>
  <c r="B17" i="9"/>
  <c r="B17" i="3" s="1"/>
  <c r="B87" i="6"/>
  <c r="B97" i="7" s="1"/>
  <c r="B32" i="1"/>
  <c r="B75" i="1"/>
  <c r="B22" i="10"/>
  <c r="B26" i="11" s="1"/>
  <c r="F152" i="8"/>
  <c r="F84" i="8"/>
  <c r="F80" i="8"/>
  <c r="F135" i="8"/>
  <c r="F78" i="8"/>
  <c r="E76" i="15"/>
  <c r="E77" i="15" s="1"/>
  <c r="C145" i="8"/>
  <c r="C148" i="7"/>
  <c r="B162" i="7" s="1"/>
  <c r="C18" i="12" s="1"/>
  <c r="C89" i="8"/>
  <c r="C131" i="8"/>
  <c r="D219" i="13"/>
  <c r="C47" i="8"/>
  <c r="C159" i="8"/>
  <c r="C117" i="8"/>
  <c r="C61" i="8"/>
  <c r="C75" i="8"/>
  <c r="C103" i="8"/>
  <c r="C19" i="8"/>
  <c r="F28" i="15"/>
  <c r="G28" i="10"/>
  <c r="I82" i="1"/>
  <c r="J82" i="1" s="1"/>
  <c r="I81" i="1"/>
  <c r="J81" i="1" s="1"/>
  <c r="I80" i="1"/>
  <c r="J80" i="1" s="1"/>
  <c r="G44" i="6"/>
  <c r="B371" i="1"/>
  <c r="B363" i="1"/>
  <c r="B178" i="1"/>
  <c r="B170" i="1"/>
  <c r="B225" i="1"/>
  <c r="B217" i="1"/>
  <c r="B81" i="6"/>
  <c r="B467" i="1"/>
  <c r="B324" i="1"/>
  <c r="B316" i="1"/>
  <c r="B130" i="1"/>
  <c r="B122" i="1"/>
  <c r="B25" i="1"/>
  <c r="B33" i="1"/>
  <c r="B419" i="1"/>
  <c r="B411" i="1"/>
  <c r="B89" i="6"/>
  <c r="B73" i="1"/>
  <c r="B71" i="1"/>
  <c r="B26" i="10"/>
  <c r="B30" i="11" s="1"/>
  <c r="F79" i="8"/>
  <c r="F69" i="8"/>
  <c r="F66" i="8"/>
  <c r="F147" i="8"/>
  <c r="F103" i="8"/>
  <c r="F138" i="8"/>
  <c r="F151" i="8"/>
  <c r="F167" i="8"/>
  <c r="F160" i="8"/>
  <c r="F64" i="8"/>
  <c r="F163" i="8"/>
  <c r="F97" i="8"/>
  <c r="F38" i="8"/>
  <c r="F168" i="8"/>
  <c r="F65" i="8"/>
  <c r="F104" i="8"/>
  <c r="E51" i="15"/>
  <c r="D63" i="15"/>
  <c r="F63" i="15" s="1"/>
  <c r="F71" i="15"/>
  <c r="H30" i="11"/>
  <c r="I30" i="11" s="1"/>
  <c r="E25" i="13"/>
  <c r="E21" i="13"/>
  <c r="E170" i="13"/>
  <c r="E147" i="13"/>
  <c r="E124" i="13"/>
  <c r="E91" i="13"/>
  <c r="E80" i="13"/>
  <c r="D52" i="13"/>
  <c r="C132" i="13"/>
  <c r="F55" i="15"/>
  <c r="H26" i="11"/>
  <c r="I26" i="11" s="1"/>
  <c r="D212" i="13"/>
  <c r="E181" i="13"/>
  <c r="E162" i="13"/>
  <c r="E102" i="13"/>
  <c r="E90" i="13"/>
  <c r="E68" i="13"/>
  <c r="E64" i="13"/>
  <c r="E67" i="13"/>
  <c r="E27" i="13"/>
  <c r="E20" i="13"/>
  <c r="E180" i="13"/>
  <c r="E192" i="13" s="1"/>
  <c r="E165" i="13"/>
  <c r="E161" i="13"/>
  <c r="E23" i="13"/>
  <c r="E187" i="13"/>
  <c r="E183" i="13"/>
  <c r="E126" i="13"/>
  <c r="E171" i="13"/>
  <c r="E167" i="13"/>
  <c r="E148" i="13"/>
  <c r="E129" i="13"/>
  <c r="E132" i="13" s="1"/>
  <c r="E29" i="13"/>
  <c r="E182" i="13"/>
  <c r="E163" i="13"/>
  <c r="C152" i="13"/>
  <c r="E69" i="13"/>
  <c r="E61" i="13"/>
  <c r="E46" i="13"/>
  <c r="L22" i="10"/>
  <c r="M22" i="10" s="1"/>
  <c r="E168" i="13"/>
  <c r="E150" i="13"/>
  <c r="E143" i="13"/>
  <c r="E87" i="13"/>
  <c r="E45" i="13"/>
  <c r="C172" i="13"/>
  <c r="H31" i="11"/>
  <c r="I31" i="11" s="1"/>
  <c r="H22" i="11"/>
  <c r="I22" i="11" s="1"/>
  <c r="E125" i="13"/>
  <c r="E111" i="13"/>
  <c r="C72" i="13"/>
  <c r="L25" i="10"/>
  <c r="M25" i="10" s="1"/>
  <c r="H20" i="11"/>
  <c r="E22" i="13"/>
  <c r="E32" i="13" s="1"/>
  <c r="E201" i="13"/>
  <c r="E212" i="13" s="1"/>
  <c r="D132" i="13"/>
  <c r="E107" i="13"/>
  <c r="E65" i="13"/>
  <c r="E44" i="13"/>
  <c r="H27" i="11"/>
  <c r="I27" i="11" s="1"/>
  <c r="E142" i="13"/>
  <c r="E89" i="13"/>
  <c r="E47" i="13"/>
  <c r="C52" i="13"/>
  <c r="H28" i="11"/>
  <c r="I28" i="11" s="1"/>
  <c r="E31" i="13"/>
  <c r="D92" i="13"/>
  <c r="E43" i="13"/>
  <c r="D32" i="13"/>
  <c r="E203" i="13"/>
  <c r="E144" i="13"/>
  <c r="E152" i="13" s="1"/>
  <c r="E127" i="13"/>
  <c r="E106" i="13"/>
  <c r="E85" i="13"/>
  <c r="H24" i="11"/>
  <c r="I24" i="11" s="1"/>
  <c r="E209" i="13"/>
  <c r="D172" i="13"/>
  <c r="E151" i="13"/>
  <c r="E105" i="13"/>
  <c r="E112" i="13" s="1"/>
  <c r="E88" i="13"/>
  <c r="E81" i="13"/>
  <c r="E70" i="13"/>
  <c r="E63" i="13"/>
  <c r="I20" i="11"/>
  <c r="E72" i="13"/>
  <c r="E172" i="13"/>
  <c r="D72" i="13"/>
  <c r="C92" i="13"/>
  <c r="L21" i="10"/>
  <c r="M21" i="10" s="1"/>
  <c r="C112" i="13"/>
  <c r="D192" i="13"/>
  <c r="C32" i="13"/>
  <c r="L17" i="10"/>
  <c r="M17" i="10" s="1"/>
  <c r="C192" i="13"/>
  <c r="C212" i="13"/>
  <c r="L16" i="10"/>
  <c r="M16" i="10" s="1"/>
  <c r="E62" i="13"/>
  <c r="L19" i="10"/>
  <c r="M19" i="10" s="1"/>
  <c r="D52" i="15"/>
  <c r="F52" i="15" s="1"/>
  <c r="F51" i="15"/>
  <c r="D53" i="15"/>
  <c r="F53" i="15" s="1"/>
  <c r="E50" i="15"/>
  <c r="F50" i="15" s="1"/>
  <c r="F15" i="15"/>
  <c r="F31" i="15"/>
  <c r="F165" i="8"/>
  <c r="F140" i="8"/>
  <c r="F125" i="8"/>
  <c r="F91" i="8"/>
  <c r="F75" i="8"/>
  <c r="F162" i="8"/>
  <c r="F159" i="8"/>
  <c r="F146" i="8"/>
  <c r="F134" i="8"/>
  <c r="F131" i="8"/>
  <c r="F122" i="8"/>
  <c r="F119" i="8"/>
  <c r="F96" i="8"/>
  <c r="F93" i="8"/>
  <c r="F29" i="15"/>
  <c r="F18" i="15"/>
  <c r="F164" i="8"/>
  <c r="F139" i="8"/>
  <c r="F136" i="8"/>
  <c r="F124" i="8"/>
  <c r="F90" i="8"/>
  <c r="D66" i="15"/>
  <c r="F66" i="15" s="1"/>
  <c r="F65" i="15"/>
  <c r="F133" i="8"/>
  <c r="F98" i="8"/>
  <c r="F61" i="8"/>
  <c r="F166" i="8"/>
  <c r="F95" i="8"/>
  <c r="F92" i="8"/>
  <c r="J16" i="10"/>
  <c r="F123" i="8"/>
  <c r="F120" i="8"/>
  <c r="F117" i="8"/>
  <c r="G163" i="8"/>
  <c r="G93" i="8"/>
  <c r="G135" i="8"/>
  <c r="G51" i="8"/>
  <c r="G107" i="8"/>
  <c r="G149" i="8"/>
  <c r="G78" i="8"/>
  <c r="G167" i="8"/>
  <c r="G153" i="8"/>
  <c r="G97" i="8"/>
  <c r="G140" i="8"/>
  <c r="G55" i="8"/>
  <c r="J18" i="10"/>
  <c r="K18" i="10" s="1"/>
  <c r="L18" i="10"/>
  <c r="M18" i="10" s="1"/>
  <c r="J24" i="10"/>
  <c r="K24" i="10" s="1"/>
  <c r="L24" i="10"/>
  <c r="M24" i="10" s="1"/>
  <c r="L20" i="10"/>
  <c r="M20" i="10" s="1"/>
  <c r="J20" i="10"/>
  <c r="K20" i="10" s="1"/>
  <c r="L27" i="10"/>
  <c r="M27" i="10" s="1"/>
  <c r="J27" i="10"/>
  <c r="K27" i="10" s="1"/>
  <c r="J23" i="10"/>
  <c r="K23" i="10" s="1"/>
  <c r="L23" i="10"/>
  <c r="M23" i="10" s="1"/>
  <c r="J26" i="10"/>
  <c r="K26" i="10" s="1"/>
  <c r="L26" i="10"/>
  <c r="M26" i="10" s="1"/>
  <c r="C57" i="13"/>
  <c r="G105" i="8"/>
  <c r="F54" i="8"/>
  <c r="F49" i="8"/>
  <c r="F35" i="8"/>
  <c r="J25" i="10"/>
  <c r="K25" i="10" s="1"/>
  <c r="J17" i="10"/>
  <c r="K17" i="10" s="1"/>
  <c r="F153" i="8"/>
  <c r="F148" i="8"/>
  <c r="F137" i="8"/>
  <c r="F121" i="8"/>
  <c r="F105" i="8"/>
  <c r="F94" i="8"/>
  <c r="F81" i="8"/>
  <c r="F76" i="8"/>
  <c r="F70" i="8"/>
  <c r="F62" i="8"/>
  <c r="F56" i="8"/>
  <c r="F40" i="8"/>
  <c r="F25" i="8"/>
  <c r="F21" i="8"/>
  <c r="J22" i="10"/>
  <c r="K22" i="10" s="1"/>
  <c r="F150" i="8"/>
  <c r="F145" i="8"/>
  <c r="F126" i="8"/>
  <c r="F112" i="8"/>
  <c r="F107" i="8"/>
  <c r="F83" i="8"/>
  <c r="F67" i="8"/>
  <c r="F51" i="8"/>
  <c r="F37" i="8"/>
  <c r="F26" i="8"/>
  <c r="G23" i="8"/>
  <c r="D64" i="15"/>
  <c r="F64" i="15" s="1"/>
  <c r="J19" i="10"/>
  <c r="K19" i="10" s="1"/>
  <c r="F109" i="8"/>
  <c r="F53" i="8"/>
  <c r="F48" i="8"/>
  <c r="F42" i="8"/>
  <c r="F34" i="8"/>
  <c r="F22" i="8"/>
  <c r="F19" i="8"/>
  <c r="F39" i="8"/>
  <c r="J21" i="10"/>
  <c r="K21" i="10" s="1"/>
  <c r="F154" i="8"/>
  <c r="F111" i="8"/>
  <c r="F106" i="8"/>
  <c r="G82" i="8"/>
  <c r="F55" i="8"/>
  <c r="F50" i="8"/>
  <c r="F36" i="8"/>
  <c r="F28" i="8"/>
  <c r="F23" i="8"/>
  <c r="G133" i="8"/>
  <c r="G84" i="8"/>
  <c r="F82" i="8"/>
  <c r="F52" i="8"/>
  <c r="F41" i="8"/>
  <c r="G165" i="8"/>
  <c r="G38" i="8"/>
  <c r="G136" i="8"/>
  <c r="C117" i="13"/>
  <c r="G94" i="8"/>
  <c r="G24" i="8"/>
  <c r="G108" i="8"/>
  <c r="G109" i="8"/>
  <c r="G151" i="8"/>
  <c r="G53" i="8"/>
  <c r="G19" i="8"/>
  <c r="G145" i="8"/>
  <c r="G47" i="8"/>
  <c r="G117" i="8"/>
  <c r="G159" i="8"/>
  <c r="G103" i="8"/>
  <c r="G61" i="8"/>
  <c r="G131" i="8"/>
  <c r="G123" i="8"/>
  <c r="G121" i="8"/>
  <c r="G119" i="8"/>
  <c r="G111" i="8"/>
  <c r="G80" i="8"/>
  <c r="G49" i="8"/>
  <c r="G33" i="8"/>
  <c r="G22" i="8"/>
  <c r="G21" i="8"/>
  <c r="G161" i="8"/>
  <c r="G147" i="8"/>
  <c r="G92" i="8"/>
  <c r="G106" i="8"/>
  <c r="G63" i="8"/>
  <c r="G124" i="8"/>
  <c r="G122" i="8"/>
  <c r="G120" i="8"/>
  <c r="C17" i="13"/>
  <c r="G134" i="8"/>
  <c r="C77" i="13"/>
  <c r="G164" i="8"/>
  <c r="G162" i="8"/>
  <c r="G152" i="8"/>
  <c r="G150" i="8"/>
  <c r="G148" i="8"/>
  <c r="G138" i="8"/>
  <c r="G95" i="8"/>
  <c r="G91" i="8"/>
  <c r="E55" i="8"/>
  <c r="C406" i="1"/>
  <c r="E418" i="1" s="1"/>
  <c r="E23" i="8"/>
  <c r="C96" i="13" s="1"/>
  <c r="C212" i="1"/>
  <c r="E221" i="1" s="1"/>
  <c r="C68" i="1"/>
  <c r="E118" i="8" s="1"/>
  <c r="D149" i="7"/>
  <c r="C97" i="13"/>
  <c r="E165" i="8"/>
  <c r="G89" i="8"/>
  <c r="G70" i="8"/>
  <c r="G68" i="8"/>
  <c r="G66" i="8"/>
  <c r="G64" i="8"/>
  <c r="G41" i="8"/>
  <c r="G39" i="8"/>
  <c r="G37" i="8"/>
  <c r="G35" i="8"/>
  <c r="G34" i="8"/>
  <c r="G126" i="8"/>
  <c r="C454" i="1"/>
  <c r="E457" i="1" s="1"/>
  <c r="C137" i="13"/>
  <c r="G168" i="8"/>
  <c r="G166" i="8"/>
  <c r="G83" i="8"/>
  <c r="G81" i="8"/>
  <c r="G79" i="8"/>
  <c r="G75" i="8"/>
  <c r="G56" i="8"/>
  <c r="G54" i="8"/>
  <c r="G52" i="8"/>
  <c r="G50" i="8"/>
  <c r="C157" i="13"/>
  <c r="G139" i="8"/>
  <c r="G137" i="8"/>
  <c r="G112" i="8"/>
  <c r="G110" i="8"/>
  <c r="C165" i="1"/>
  <c r="E168" i="1" s="1"/>
  <c r="C117" i="1"/>
  <c r="E123" i="1" s="1"/>
  <c r="C177" i="13"/>
  <c r="G69" i="8"/>
  <c r="G67" i="8"/>
  <c r="G42" i="8"/>
  <c r="G40" i="8"/>
  <c r="C197" i="13"/>
  <c r="G154" i="8"/>
  <c r="G125" i="8"/>
  <c r="G98" i="8"/>
  <c r="G96" i="8"/>
  <c r="E138" i="8"/>
  <c r="E105" i="8"/>
  <c r="E151" i="8"/>
  <c r="E84" i="8"/>
  <c r="E67" i="8"/>
  <c r="D152" i="7"/>
  <c r="E121" i="8"/>
  <c r="E91" i="8"/>
  <c r="E80" i="8"/>
  <c r="D157" i="7"/>
  <c r="E38" i="8"/>
  <c r="E126" i="8"/>
  <c r="E49" i="8"/>
  <c r="D156" i="7"/>
  <c r="E133" i="8"/>
  <c r="E124" i="8"/>
  <c r="E107" i="8"/>
  <c r="E98" i="8"/>
  <c r="D153" i="7"/>
  <c r="E109" i="8"/>
  <c r="E64" i="8"/>
  <c r="E51" i="8"/>
  <c r="E40" i="8"/>
  <c r="E26" i="8"/>
  <c r="C311" i="1"/>
  <c r="E325" i="1" s="1"/>
  <c r="C261" i="1"/>
  <c r="E270" i="1" s="1"/>
  <c r="E147" i="8"/>
  <c r="E119" i="8"/>
  <c r="E110" i="8"/>
  <c r="E78" i="8"/>
  <c r="E52" i="8"/>
  <c r="D155" i="7"/>
  <c r="D151" i="7"/>
  <c r="E163" i="8"/>
  <c r="E152" i="8"/>
  <c r="E136" i="8"/>
  <c r="E122" i="8"/>
  <c r="E94" i="8"/>
  <c r="E168" i="8"/>
  <c r="E161" i="8"/>
  <c r="E134" i="8"/>
  <c r="E81" i="8"/>
  <c r="E39" i="8"/>
  <c r="D154" i="7"/>
  <c r="D150" i="7"/>
  <c r="E150" i="8"/>
  <c r="E120" i="8"/>
  <c r="E111" i="8"/>
  <c r="E97" i="8"/>
  <c r="C358" i="1"/>
  <c r="E372" i="1" s="1"/>
  <c r="E164" i="8"/>
  <c r="E137" i="8"/>
  <c r="E123" i="8"/>
  <c r="E95" i="8"/>
  <c r="E66" i="8"/>
  <c r="E28" i="8"/>
  <c r="E154" i="8"/>
  <c r="E70" i="8"/>
  <c r="E42" i="8"/>
  <c r="E166" i="8"/>
  <c r="E140" i="8"/>
  <c r="E108" i="8"/>
  <c r="E96" i="8"/>
  <c r="E82" i="8"/>
  <c r="E77" i="8"/>
  <c r="E68" i="8"/>
  <c r="E65" i="8"/>
  <c r="E35" i="8"/>
  <c r="E167" i="8"/>
  <c r="E21" i="8"/>
  <c r="E153" i="8"/>
  <c r="E112" i="8"/>
  <c r="C136" i="13"/>
  <c r="C116" i="13"/>
  <c r="E148" i="8"/>
  <c r="E135" i="8"/>
  <c r="E125" i="8"/>
  <c r="E92" i="8"/>
  <c r="E79" i="8"/>
  <c r="E69" i="8"/>
  <c r="E53" i="8"/>
  <c r="E37" i="8"/>
  <c r="E50" i="8"/>
  <c r="E162" i="8"/>
  <c r="E149" i="8"/>
  <c r="E139" i="8"/>
  <c r="E106" i="8"/>
  <c r="E93" i="8"/>
  <c r="E83" i="8"/>
  <c r="E22" i="8"/>
  <c r="E41" i="8"/>
  <c r="E27" i="8"/>
  <c r="B26" i="7" l="1"/>
  <c r="B137" i="7"/>
  <c r="B44" i="7"/>
  <c r="B27" i="7"/>
  <c r="F168" i="1"/>
  <c r="H168" i="1" s="1"/>
  <c r="I168" i="1" s="1"/>
  <c r="J168" i="1" s="1"/>
  <c r="B95" i="7"/>
  <c r="B117" i="7"/>
  <c r="F152" i="7"/>
  <c r="F157" i="7"/>
  <c r="B45" i="7"/>
  <c r="F150" i="7"/>
  <c r="F154" i="7"/>
  <c r="F457" i="1"/>
  <c r="H457" i="1" s="1"/>
  <c r="I457" i="1" s="1"/>
  <c r="J457" i="1" s="1"/>
  <c r="B138" i="7"/>
  <c r="B64" i="7"/>
  <c r="F155" i="7"/>
  <c r="B89" i="7"/>
  <c r="B57" i="7"/>
  <c r="B131" i="7"/>
  <c r="B38" i="7"/>
  <c r="B20" i="7"/>
  <c r="B25" i="7"/>
  <c r="B136" i="7"/>
  <c r="D148" i="7"/>
  <c r="F148" i="7" s="1"/>
  <c r="C20" i="1"/>
  <c r="E131" i="8" s="1"/>
  <c r="H131" i="8" s="1"/>
  <c r="F156" i="7"/>
  <c r="B140" i="7"/>
  <c r="B58" i="7"/>
  <c r="B120" i="7"/>
  <c r="B39" i="7"/>
  <c r="B21" i="7"/>
  <c r="B47" i="7"/>
  <c r="B29" i="7"/>
  <c r="B90" i="7"/>
  <c r="B112" i="7"/>
  <c r="B98" i="7"/>
  <c r="B41" i="7"/>
  <c r="B60" i="7"/>
  <c r="B93" i="7"/>
  <c r="B61" i="7"/>
  <c r="B42" i="7"/>
  <c r="B115" i="7"/>
  <c r="B114" i="7"/>
  <c r="B23" i="7"/>
  <c r="B134" i="7"/>
  <c r="F151" i="7"/>
  <c r="B24" i="7"/>
  <c r="F153" i="7"/>
  <c r="B94" i="7"/>
  <c r="B43" i="7"/>
  <c r="F149" i="7"/>
  <c r="B62" i="7"/>
  <c r="B122" i="7"/>
  <c r="B49" i="7"/>
  <c r="B31" i="7"/>
  <c r="B100" i="7"/>
  <c r="B142" i="7"/>
  <c r="B68" i="7"/>
  <c r="B139" i="7"/>
  <c r="B46" i="7"/>
  <c r="B28" i="7"/>
  <c r="B119" i="7"/>
  <c r="B65" i="7"/>
  <c r="H65" i="8"/>
  <c r="I65" i="8" s="1"/>
  <c r="H38" i="8"/>
  <c r="I38" i="8" s="1"/>
  <c r="H36" i="8"/>
  <c r="I36" i="8" s="1"/>
  <c r="F37" i="15"/>
  <c r="F24" i="15"/>
  <c r="H63" i="8"/>
  <c r="I63" i="8" s="1"/>
  <c r="H77" i="8"/>
  <c r="I77" i="8" s="1"/>
  <c r="H81" i="8"/>
  <c r="I81" i="8" s="1"/>
  <c r="H56" i="8"/>
  <c r="I56" i="8" s="1"/>
  <c r="H25" i="8"/>
  <c r="I25" i="8" s="1"/>
  <c r="H26" i="8"/>
  <c r="I26" i="8" s="1"/>
  <c r="H24" i="8"/>
  <c r="I24" i="8" s="1"/>
  <c r="B22" i="7"/>
  <c r="B113" i="7"/>
  <c r="B59" i="7"/>
  <c r="B40" i="7"/>
  <c r="B133" i="7"/>
  <c r="B91" i="7"/>
  <c r="B30" i="7"/>
  <c r="B121" i="7"/>
  <c r="B141" i="7"/>
  <c r="B67" i="7"/>
  <c r="B48" i="7"/>
  <c r="B99" i="7"/>
  <c r="H105" i="8"/>
  <c r="I105" i="8" s="1"/>
  <c r="H139" i="8"/>
  <c r="I139" i="8" s="1"/>
  <c r="H54" i="8"/>
  <c r="I54" i="8" s="1"/>
  <c r="E52" i="13"/>
  <c r="E92" i="13"/>
  <c r="I32" i="11"/>
  <c r="C20" i="14" s="1"/>
  <c r="H32" i="11"/>
  <c r="C58" i="3"/>
  <c r="F72" i="15"/>
  <c r="C57" i="3"/>
  <c r="C19" i="14"/>
  <c r="F59" i="15"/>
  <c r="H107" i="8"/>
  <c r="I107" i="8" s="1"/>
  <c r="H79" i="8"/>
  <c r="I79" i="8" s="1"/>
  <c r="E410" i="1"/>
  <c r="E415" i="1"/>
  <c r="H55" i="8"/>
  <c r="I55" i="8" s="1"/>
  <c r="H135" i="8"/>
  <c r="I135" i="8" s="1"/>
  <c r="E417" i="1"/>
  <c r="H109" i="8"/>
  <c r="I109" i="8" s="1"/>
  <c r="H163" i="8"/>
  <c r="I163" i="8" s="1"/>
  <c r="H162" i="8"/>
  <c r="I162" i="8" s="1"/>
  <c r="K16" i="10"/>
  <c r="K28" i="10" s="1"/>
  <c r="J28" i="10"/>
  <c r="C14" i="14" s="1"/>
  <c r="C53" i="3" s="1"/>
  <c r="H97" i="8"/>
  <c r="I97" i="8" s="1"/>
  <c r="H93" i="8"/>
  <c r="I93" i="8" s="1"/>
  <c r="H149" i="8"/>
  <c r="I149" i="8" s="1"/>
  <c r="E131" i="1"/>
  <c r="H153" i="8"/>
  <c r="I153" i="8" s="1"/>
  <c r="F132" i="13"/>
  <c r="C224" i="13" s="1"/>
  <c r="E224" i="13" s="1"/>
  <c r="F224" i="13" s="1"/>
  <c r="G224" i="13" s="1"/>
  <c r="E179" i="1"/>
  <c r="E171" i="1"/>
  <c r="H83" i="8"/>
  <c r="I83" i="8" s="1"/>
  <c r="H120" i="8"/>
  <c r="I120" i="8" s="1"/>
  <c r="E76" i="8"/>
  <c r="E77" i="1"/>
  <c r="E226" i="1"/>
  <c r="C141" i="1"/>
  <c r="E146" i="1" s="1"/>
  <c r="H78" i="8"/>
  <c r="I78" i="8" s="1"/>
  <c r="H84" i="8"/>
  <c r="I84" i="8" s="1"/>
  <c r="H66" i="8"/>
  <c r="I66" i="8" s="1"/>
  <c r="E20" i="8"/>
  <c r="C36" i="13" s="1"/>
  <c r="H154" i="8"/>
  <c r="I154" i="8" s="1"/>
  <c r="H148" i="8"/>
  <c r="I148" i="8" s="1"/>
  <c r="H23" i="8"/>
  <c r="I23" i="8" s="1"/>
  <c r="E146" i="8"/>
  <c r="H96" i="8"/>
  <c r="I96" i="8" s="1"/>
  <c r="E224" i="1"/>
  <c r="E222" i="1"/>
  <c r="E34" i="8"/>
  <c r="H34" i="8" s="1"/>
  <c r="I34" i="8" s="1"/>
  <c r="E464" i="1"/>
  <c r="H167" i="8"/>
  <c r="I167" i="8" s="1"/>
  <c r="E316" i="1"/>
  <c r="E78" i="1"/>
  <c r="H69" i="8"/>
  <c r="I69" i="8" s="1"/>
  <c r="H152" i="8"/>
  <c r="I152" i="8" s="1"/>
  <c r="H92" i="8"/>
  <c r="I92" i="8" s="1"/>
  <c r="E120" i="1"/>
  <c r="F120" i="1" s="1"/>
  <c r="H120" i="1" s="1"/>
  <c r="I120" i="1" s="1"/>
  <c r="J120" i="1" s="1"/>
  <c r="H106" i="8"/>
  <c r="I106" i="8" s="1"/>
  <c r="E271" i="1"/>
  <c r="H111" i="8"/>
  <c r="I111" i="8" s="1"/>
  <c r="H134" i="8"/>
  <c r="I134" i="8" s="1"/>
  <c r="H50" i="8"/>
  <c r="I50" i="8" s="1"/>
  <c r="E127" i="1"/>
  <c r="E125" i="1"/>
  <c r="H41" i="8"/>
  <c r="I41" i="8" s="1"/>
  <c r="E465" i="1"/>
  <c r="E126" i="1"/>
  <c r="H161" i="8"/>
  <c r="I161" i="8" s="1"/>
  <c r="E128" i="1"/>
  <c r="E130" i="1"/>
  <c r="E175" i="1"/>
  <c r="H140" i="8"/>
  <c r="I140" i="8" s="1"/>
  <c r="E122" i="1"/>
  <c r="H151" i="8"/>
  <c r="I151" i="8" s="1"/>
  <c r="H98" i="8"/>
  <c r="I98" i="8" s="1"/>
  <c r="E48" i="8"/>
  <c r="E370" i="1"/>
  <c r="E124" i="1"/>
  <c r="E217" i="1"/>
  <c r="H82" i="8"/>
  <c r="I82" i="8" s="1"/>
  <c r="E174" i="1"/>
  <c r="H168" i="8"/>
  <c r="I168" i="8" s="1"/>
  <c r="H124" i="8"/>
  <c r="I124" i="8" s="1"/>
  <c r="H91" i="8"/>
  <c r="I91" i="8" s="1"/>
  <c r="E323" i="1"/>
  <c r="H94" i="8"/>
  <c r="I94" i="8" s="1"/>
  <c r="H51" i="8"/>
  <c r="I51" i="8" s="1"/>
  <c r="H133" i="8"/>
  <c r="I133" i="8" s="1"/>
  <c r="H138" i="8"/>
  <c r="I138" i="8" s="1"/>
  <c r="M28" i="10"/>
  <c r="C156" i="13"/>
  <c r="F172" i="13" s="1"/>
  <c r="C226" i="13" s="1"/>
  <c r="E226" i="13" s="1"/>
  <c r="F226" i="13" s="1"/>
  <c r="G226" i="13" s="1"/>
  <c r="C478" i="1"/>
  <c r="E489" i="1" s="1"/>
  <c r="E363" i="1"/>
  <c r="H37" i="8"/>
  <c r="I37" i="8" s="1"/>
  <c r="E173" i="1"/>
  <c r="E172" i="1"/>
  <c r="E170" i="1"/>
  <c r="H110" i="8"/>
  <c r="I110" i="8" s="1"/>
  <c r="H64" i="8"/>
  <c r="I64" i="8" s="1"/>
  <c r="H121" i="8"/>
  <c r="I121" i="8" s="1"/>
  <c r="L28" i="10"/>
  <c r="C79" i="3" s="1"/>
  <c r="H136" i="8"/>
  <c r="I136" i="8" s="1"/>
  <c r="H119" i="8"/>
  <c r="I119" i="8" s="1"/>
  <c r="E169" i="1"/>
  <c r="E365" i="1"/>
  <c r="F112" i="13"/>
  <c r="C223" i="13" s="1"/>
  <c r="E223" i="13" s="1"/>
  <c r="F223" i="13" s="1"/>
  <c r="G223" i="13" s="1"/>
  <c r="E368" i="1"/>
  <c r="E177" i="1"/>
  <c r="H39" i="8"/>
  <c r="I39" i="8" s="1"/>
  <c r="H147" i="8"/>
  <c r="I147" i="8" s="1"/>
  <c r="H49" i="8"/>
  <c r="I49" i="8" s="1"/>
  <c r="H67" i="8"/>
  <c r="I67" i="8" s="1"/>
  <c r="E275" i="1"/>
  <c r="H21" i="8"/>
  <c r="I21" i="8" s="1"/>
  <c r="H150" i="8"/>
  <c r="I150" i="8" s="1"/>
  <c r="E466" i="1"/>
  <c r="E90" i="8"/>
  <c r="E459" i="1"/>
  <c r="E104" i="8"/>
  <c r="E62" i="8"/>
  <c r="E463" i="1"/>
  <c r="E74" i="1"/>
  <c r="E79" i="1"/>
  <c r="E419" i="1"/>
  <c r="E467" i="1"/>
  <c r="H165" i="8"/>
  <c r="I165" i="8" s="1"/>
  <c r="H108" i="8"/>
  <c r="I108" i="8" s="1"/>
  <c r="H52" i="8"/>
  <c r="I52" i="8" s="1"/>
  <c r="H80" i="8"/>
  <c r="I80" i="8" s="1"/>
  <c r="H164" i="8"/>
  <c r="I164" i="8" s="1"/>
  <c r="H95" i="8"/>
  <c r="I95" i="8" s="1"/>
  <c r="H123" i="8"/>
  <c r="I123" i="8" s="1"/>
  <c r="H53" i="8"/>
  <c r="I53" i="8" s="1"/>
  <c r="F152" i="13"/>
  <c r="C225" i="13" s="1"/>
  <c r="E225" i="13" s="1"/>
  <c r="F225" i="13" s="1"/>
  <c r="G225" i="13" s="1"/>
  <c r="G90" i="8"/>
  <c r="E160" i="8"/>
  <c r="E72" i="1"/>
  <c r="E73" i="1"/>
  <c r="E218" i="1"/>
  <c r="E416" i="1"/>
  <c r="E220" i="1"/>
  <c r="E176" i="1"/>
  <c r="E362" i="1"/>
  <c r="E132" i="8"/>
  <c r="E75" i="1"/>
  <c r="E76" i="1"/>
  <c r="E215" i="1"/>
  <c r="F215" i="1" s="1"/>
  <c r="H215" i="1" s="1"/>
  <c r="I215" i="1" s="1"/>
  <c r="J215" i="1" s="1"/>
  <c r="E225" i="1"/>
  <c r="E223" i="1"/>
  <c r="H68" i="8"/>
  <c r="I68" i="8" s="1"/>
  <c r="C237" i="1"/>
  <c r="E251" i="1" s="1"/>
  <c r="E413" i="1"/>
  <c r="E178" i="1"/>
  <c r="E411" i="1"/>
  <c r="H70" i="8"/>
  <c r="I70" i="8" s="1"/>
  <c r="H122" i="8"/>
  <c r="I122" i="8" s="1"/>
  <c r="E321" i="1"/>
  <c r="E412" i="1"/>
  <c r="H40" i="8"/>
  <c r="I40" i="8" s="1"/>
  <c r="E367" i="1"/>
  <c r="E458" i="1"/>
  <c r="E461" i="1"/>
  <c r="E460" i="1"/>
  <c r="E121" i="1"/>
  <c r="E129" i="1"/>
  <c r="E462" i="1"/>
  <c r="E414" i="1"/>
  <c r="H112" i="8"/>
  <c r="I112" i="8" s="1"/>
  <c r="H35" i="8"/>
  <c r="I35" i="8" s="1"/>
  <c r="H166" i="8"/>
  <c r="I166" i="8" s="1"/>
  <c r="E420" i="1"/>
  <c r="E324" i="1"/>
  <c r="E96" i="1"/>
  <c r="F96" i="1" s="1"/>
  <c r="E104" i="1"/>
  <c r="E106" i="1"/>
  <c r="E102" i="1"/>
  <c r="E97" i="1"/>
  <c r="E99" i="1"/>
  <c r="E101" i="1"/>
  <c r="E103" i="1"/>
  <c r="E105" i="1"/>
  <c r="E107" i="1"/>
  <c r="E80" i="1"/>
  <c r="E81" i="1"/>
  <c r="C93" i="1"/>
  <c r="E98" i="1"/>
  <c r="E82" i="1"/>
  <c r="E100" i="1"/>
  <c r="C430" i="1"/>
  <c r="E440" i="1" s="1"/>
  <c r="E364" i="1"/>
  <c r="E409" i="1"/>
  <c r="F409" i="1" s="1"/>
  <c r="H409" i="1" s="1"/>
  <c r="I409" i="1" s="1"/>
  <c r="J409" i="1" s="1"/>
  <c r="E468" i="1"/>
  <c r="H125" i="8"/>
  <c r="I125" i="8" s="1"/>
  <c r="H42" i="8"/>
  <c r="I42" i="8" s="1"/>
  <c r="H137" i="8"/>
  <c r="I137" i="8" s="1"/>
  <c r="H126" i="8"/>
  <c r="I126" i="8" s="1"/>
  <c r="C189" i="1"/>
  <c r="E200" i="1" s="1"/>
  <c r="E216" i="1"/>
  <c r="E219" i="1"/>
  <c r="G20" i="8"/>
  <c r="G76" i="8"/>
  <c r="G146" i="8"/>
  <c r="C37" i="13"/>
  <c r="G132" i="8"/>
  <c r="G104" i="8"/>
  <c r="G160" i="8"/>
  <c r="G48" i="8"/>
  <c r="G118" i="8"/>
  <c r="H118" i="8" s="1"/>
  <c r="I118" i="8" s="1"/>
  <c r="G62" i="8"/>
  <c r="E369" i="1"/>
  <c r="E315" i="1"/>
  <c r="E319" i="1"/>
  <c r="E264" i="1"/>
  <c r="F264" i="1" s="1"/>
  <c r="H264" i="1" s="1"/>
  <c r="I264" i="1" s="1"/>
  <c r="J264" i="1" s="1"/>
  <c r="E314" i="1"/>
  <c r="F314" i="1" s="1"/>
  <c r="H314" i="1" s="1"/>
  <c r="E317" i="1"/>
  <c r="E265" i="1"/>
  <c r="E320" i="1"/>
  <c r="E318" i="1"/>
  <c r="E273" i="1"/>
  <c r="E267" i="1"/>
  <c r="E322" i="1"/>
  <c r="C335" i="1"/>
  <c r="E361" i="1"/>
  <c r="F361" i="1" s="1"/>
  <c r="H361" i="1" s="1"/>
  <c r="I361" i="1" s="1"/>
  <c r="J361" i="1" s="1"/>
  <c r="C382" i="1"/>
  <c r="E366" i="1"/>
  <c r="E371" i="1"/>
  <c r="H28" i="8"/>
  <c r="C196" i="13"/>
  <c r="F212" i="13" s="1"/>
  <c r="C228" i="13" s="1"/>
  <c r="E228" i="13" s="1"/>
  <c r="F228" i="13" s="1"/>
  <c r="G228" i="13" s="1"/>
  <c r="E269" i="1"/>
  <c r="E274" i="1"/>
  <c r="E268" i="1"/>
  <c r="E266" i="1"/>
  <c r="E272" i="1"/>
  <c r="C285" i="1"/>
  <c r="C56" i="13"/>
  <c r="F72" i="13" s="1"/>
  <c r="C221" i="13" s="1"/>
  <c r="E221" i="13" s="1"/>
  <c r="F221" i="13" s="1"/>
  <c r="G221" i="13" s="1"/>
  <c r="H22" i="8"/>
  <c r="C76" i="13"/>
  <c r="F92" i="13" s="1"/>
  <c r="C222" i="13" s="1"/>
  <c r="E222" i="13" s="1"/>
  <c r="F222" i="13" s="1"/>
  <c r="G222" i="13" s="1"/>
  <c r="H27" i="8"/>
  <c r="C176" i="13"/>
  <c r="F192" i="13" s="1"/>
  <c r="C227" i="13" s="1"/>
  <c r="E227" i="13" s="1"/>
  <c r="F227" i="13" s="1"/>
  <c r="G227" i="13" s="1"/>
  <c r="G169" i="1"/>
  <c r="E19" i="8"/>
  <c r="H19" i="8" s="1"/>
  <c r="C44" i="1"/>
  <c r="E89" i="8"/>
  <c r="H89" i="8" s="1"/>
  <c r="E61" i="8"/>
  <c r="H61" i="8" s="1"/>
  <c r="E24" i="1"/>
  <c r="E28" i="1" l="1"/>
  <c r="E159" i="8"/>
  <c r="H159" i="8" s="1"/>
  <c r="I159" i="8" s="1"/>
  <c r="E34" i="1"/>
  <c r="E33" i="8"/>
  <c r="H33" i="8" s="1"/>
  <c r="H43" i="8" s="1"/>
  <c r="C34" i="9" s="1"/>
  <c r="G458" i="1"/>
  <c r="F458" i="1" s="1"/>
  <c r="H458" i="1" s="1"/>
  <c r="E32" i="1"/>
  <c r="E30" i="1"/>
  <c r="E26" i="1"/>
  <c r="E103" i="8"/>
  <c r="H103" i="8" s="1"/>
  <c r="I103" i="8" s="1"/>
  <c r="E117" i="8"/>
  <c r="H117" i="8" s="1"/>
  <c r="H127" i="8" s="1"/>
  <c r="C40" i="9" s="1"/>
  <c r="E75" i="8"/>
  <c r="H75" i="8" s="1"/>
  <c r="I75" i="8" s="1"/>
  <c r="E27" i="1"/>
  <c r="E31" i="1"/>
  <c r="E23" i="1"/>
  <c r="F23" i="1" s="1"/>
  <c r="H23" i="1" s="1"/>
  <c r="I23" i="1" s="1"/>
  <c r="J23" i="1" s="1"/>
  <c r="E155" i="1"/>
  <c r="E29" i="1"/>
  <c r="E33" i="1"/>
  <c r="E47" i="8"/>
  <c r="H47" i="8" s="1"/>
  <c r="I47" i="8" s="1"/>
  <c r="E151" i="1"/>
  <c r="E145" i="8"/>
  <c r="H145" i="8" s="1"/>
  <c r="I145" i="8" s="1"/>
  <c r="E25" i="1"/>
  <c r="E149" i="1"/>
  <c r="F158" i="7"/>
  <c r="B18" i="12" s="1"/>
  <c r="E18" i="12" s="1"/>
  <c r="C24" i="14" s="1"/>
  <c r="C61" i="3" s="1"/>
  <c r="F44" i="15"/>
  <c r="C49" i="3" s="1"/>
  <c r="G315" i="1"/>
  <c r="F315" i="1" s="1"/>
  <c r="H315" i="1" s="1"/>
  <c r="I314" i="1"/>
  <c r="J314" i="1" s="1"/>
  <c r="F87" i="15"/>
  <c r="C73" i="3" s="1"/>
  <c r="E145" i="1"/>
  <c r="C15" i="14"/>
  <c r="C54" i="3"/>
  <c r="E150" i="1"/>
  <c r="E153" i="1"/>
  <c r="E481" i="1"/>
  <c r="F481" i="1" s="1"/>
  <c r="H481" i="1" s="1"/>
  <c r="H76" i="8"/>
  <c r="I76" i="8" s="1"/>
  <c r="H20" i="8"/>
  <c r="I20" i="8" s="1"/>
  <c r="E492" i="1"/>
  <c r="E144" i="1"/>
  <c r="F144" i="1" s="1"/>
  <c r="H144" i="1" s="1"/>
  <c r="I144" i="1" s="1"/>
  <c r="E484" i="1"/>
  <c r="E148" i="1"/>
  <c r="H146" i="8"/>
  <c r="I146" i="8" s="1"/>
  <c r="E147" i="1"/>
  <c r="E152" i="1"/>
  <c r="E154" i="1"/>
  <c r="E491" i="1"/>
  <c r="E486" i="1"/>
  <c r="E485" i="1"/>
  <c r="E487" i="1"/>
  <c r="E488" i="1"/>
  <c r="E483" i="1"/>
  <c r="F169" i="1"/>
  <c r="H169" i="1" s="1"/>
  <c r="E482" i="1"/>
  <c r="E244" i="1"/>
  <c r="E490" i="1"/>
  <c r="E433" i="1"/>
  <c r="F433" i="1" s="1"/>
  <c r="H433" i="1" s="1"/>
  <c r="H48" i="8"/>
  <c r="I48" i="8" s="1"/>
  <c r="H90" i="8"/>
  <c r="I90" i="8" s="1"/>
  <c r="E201" i="1"/>
  <c r="H104" i="8"/>
  <c r="I104" i="8" s="1"/>
  <c r="E241" i="1"/>
  <c r="E21" i="9"/>
  <c r="E437" i="1"/>
  <c r="E22" i="9"/>
  <c r="F22" i="9" s="1"/>
  <c r="E19" i="9"/>
  <c r="F19" i="9" s="1"/>
  <c r="H62" i="8"/>
  <c r="I62" i="8" s="1"/>
  <c r="E240" i="1"/>
  <c r="F240" i="1" s="1"/>
  <c r="H240" i="1" s="1"/>
  <c r="H160" i="8"/>
  <c r="I160" i="8" s="1"/>
  <c r="H132" i="8"/>
  <c r="I132" i="8" s="1"/>
  <c r="F52" i="13"/>
  <c r="C220" i="13" s="1"/>
  <c r="E220" i="13" s="1"/>
  <c r="F220" i="13" s="1"/>
  <c r="G220" i="13" s="1"/>
  <c r="E250" i="1"/>
  <c r="E245" i="1"/>
  <c r="E247" i="1"/>
  <c r="E246" i="1"/>
  <c r="E242" i="1"/>
  <c r="E248" i="1"/>
  <c r="E249" i="1"/>
  <c r="E243" i="1"/>
  <c r="E436" i="1"/>
  <c r="E434" i="1"/>
  <c r="E438" i="1"/>
  <c r="E193" i="1"/>
  <c r="E199" i="1"/>
  <c r="E198" i="1"/>
  <c r="E194" i="1"/>
  <c r="E192" i="1"/>
  <c r="F192" i="1" s="1"/>
  <c r="E197" i="1"/>
  <c r="E202" i="1"/>
  <c r="E195" i="1"/>
  <c r="E196" i="1"/>
  <c r="E203" i="1"/>
  <c r="E444" i="1"/>
  <c r="E23" i="9"/>
  <c r="E24" i="9"/>
  <c r="F24" i="9" s="1"/>
  <c r="E441" i="1"/>
  <c r="E435" i="1"/>
  <c r="E439" i="1"/>
  <c r="E442" i="1"/>
  <c r="H96" i="1"/>
  <c r="I96" i="1" s="1"/>
  <c r="E443" i="1"/>
  <c r="G265" i="1"/>
  <c r="F265" i="1" s="1"/>
  <c r="H265" i="1" s="1"/>
  <c r="I28" i="8"/>
  <c r="E26" i="9"/>
  <c r="E394" i="1"/>
  <c r="E392" i="1"/>
  <c r="E391" i="1"/>
  <c r="E388" i="1"/>
  <c r="E386" i="1"/>
  <c r="E385" i="1"/>
  <c r="F385" i="1" s="1"/>
  <c r="E396" i="1"/>
  <c r="E387" i="1"/>
  <c r="E393" i="1"/>
  <c r="E390" i="1"/>
  <c r="E395" i="1"/>
  <c r="E389" i="1"/>
  <c r="E342" i="1"/>
  <c r="E347" i="1"/>
  <c r="E349" i="1"/>
  <c r="E346" i="1"/>
  <c r="E338" i="1"/>
  <c r="F338" i="1" s="1"/>
  <c r="H338" i="1" s="1"/>
  <c r="I338" i="1" s="1"/>
  <c r="E344" i="1"/>
  <c r="E343" i="1"/>
  <c r="E345" i="1"/>
  <c r="E348" i="1"/>
  <c r="E340" i="1"/>
  <c r="E339" i="1"/>
  <c r="E341" i="1"/>
  <c r="G362" i="1"/>
  <c r="F362" i="1" s="1"/>
  <c r="H362" i="1" s="1"/>
  <c r="E290" i="1"/>
  <c r="E288" i="1"/>
  <c r="F288" i="1" s="1"/>
  <c r="H288" i="1" s="1"/>
  <c r="I288" i="1" s="1"/>
  <c r="E292" i="1"/>
  <c r="E291" i="1"/>
  <c r="E294" i="1"/>
  <c r="E299" i="1"/>
  <c r="E293" i="1"/>
  <c r="E298" i="1"/>
  <c r="E289" i="1"/>
  <c r="E297" i="1"/>
  <c r="E295" i="1"/>
  <c r="E296" i="1"/>
  <c r="G121" i="1"/>
  <c r="F121" i="1" s="1"/>
  <c r="H121" i="1" s="1"/>
  <c r="E20" i="9"/>
  <c r="I22" i="8"/>
  <c r="I61" i="8"/>
  <c r="I131" i="8"/>
  <c r="G410" i="1"/>
  <c r="F410" i="1" s="1"/>
  <c r="I89" i="8"/>
  <c r="C16" i="13"/>
  <c r="F32" i="13" s="1"/>
  <c r="C219" i="13" s="1"/>
  <c r="E219" i="13" s="1"/>
  <c r="G216" i="1"/>
  <c r="F216" i="1" s="1"/>
  <c r="E48" i="1"/>
  <c r="E50" i="1"/>
  <c r="E52" i="1"/>
  <c r="E54" i="1"/>
  <c r="E56" i="1"/>
  <c r="E58" i="1"/>
  <c r="E49" i="1"/>
  <c r="E51" i="1"/>
  <c r="E53" i="1"/>
  <c r="E55" i="1"/>
  <c r="E47" i="1"/>
  <c r="F47" i="1" s="1"/>
  <c r="E71" i="1"/>
  <c r="F71" i="1" s="1"/>
  <c r="E57" i="1"/>
  <c r="E25" i="9"/>
  <c r="I27" i="8"/>
  <c r="I33" i="8" l="1"/>
  <c r="I43" i="8" s="1"/>
  <c r="I117" i="8"/>
  <c r="I127" i="8" s="1"/>
  <c r="F18" i="12"/>
  <c r="C25" i="14" s="1"/>
  <c r="G434" i="1"/>
  <c r="I433" i="1"/>
  <c r="J144" i="1"/>
  <c r="J96" i="1"/>
  <c r="J288" i="1"/>
  <c r="G241" i="1"/>
  <c r="F241" i="1" s="1"/>
  <c r="H241" i="1" s="1"/>
  <c r="I240" i="1"/>
  <c r="G482" i="1"/>
  <c r="F482" i="1" s="1"/>
  <c r="H482" i="1" s="1"/>
  <c r="I481" i="1"/>
  <c r="J338" i="1"/>
  <c r="G122" i="1"/>
  <c r="F122" i="1" s="1"/>
  <c r="H122" i="1" s="1"/>
  <c r="I121" i="1"/>
  <c r="G266" i="1"/>
  <c r="F266" i="1" s="1"/>
  <c r="H266" i="1" s="1"/>
  <c r="I265" i="1"/>
  <c r="G316" i="1"/>
  <c r="F316" i="1" s="1"/>
  <c r="H316" i="1" s="1"/>
  <c r="I315" i="1"/>
  <c r="G170" i="1"/>
  <c r="F170" i="1" s="1"/>
  <c r="H170" i="1" s="1"/>
  <c r="I169" i="1"/>
  <c r="G363" i="1"/>
  <c r="F363" i="1" s="1"/>
  <c r="H363" i="1" s="1"/>
  <c r="I362" i="1"/>
  <c r="G459" i="1"/>
  <c r="F459" i="1" s="1"/>
  <c r="H459" i="1" s="1"/>
  <c r="I458" i="1"/>
  <c r="H85" i="8"/>
  <c r="C37" i="9" s="1"/>
  <c r="D37" i="9" s="1"/>
  <c r="D36" i="3" s="1"/>
  <c r="H169" i="8"/>
  <c r="C43" i="9" s="1"/>
  <c r="D43" i="9" s="1"/>
  <c r="D42" i="3" s="1"/>
  <c r="H99" i="8"/>
  <c r="C38" i="9" s="1"/>
  <c r="C37" i="3" s="1"/>
  <c r="I85" i="8"/>
  <c r="I141" i="8"/>
  <c r="I169" i="8"/>
  <c r="H113" i="8"/>
  <c r="C39" i="9" s="1"/>
  <c r="D39" i="9" s="1"/>
  <c r="D38" i="3" s="1"/>
  <c r="I113" i="8"/>
  <c r="H155" i="8"/>
  <c r="C42" i="9" s="1"/>
  <c r="D42" i="9" s="1"/>
  <c r="D41" i="3" s="1"/>
  <c r="I155" i="8"/>
  <c r="I57" i="8"/>
  <c r="H57" i="8"/>
  <c r="C35" i="9" s="1"/>
  <c r="C34" i="3" s="1"/>
  <c r="I71" i="8"/>
  <c r="H141" i="8"/>
  <c r="C41" i="9" s="1"/>
  <c r="D41" i="9" s="1"/>
  <c r="D40" i="3" s="1"/>
  <c r="I99" i="8"/>
  <c r="H71" i="8"/>
  <c r="C36" i="9" s="1"/>
  <c r="D36" i="9" s="1"/>
  <c r="D35" i="3" s="1"/>
  <c r="F434" i="1"/>
  <c r="H434" i="1" s="1"/>
  <c r="F21" i="9"/>
  <c r="E18" i="9"/>
  <c r="F18" i="9" s="1"/>
  <c r="G97" i="1"/>
  <c r="F97" i="1" s="1"/>
  <c r="H97" i="1" s="1"/>
  <c r="H192" i="1"/>
  <c r="F23" i="9"/>
  <c r="G289" i="1"/>
  <c r="F289" i="1" s="1"/>
  <c r="H289" i="1" s="1"/>
  <c r="G339" i="1"/>
  <c r="F339" i="1" s="1"/>
  <c r="H339" i="1" s="1"/>
  <c r="G145" i="1"/>
  <c r="F145" i="1" s="1"/>
  <c r="H145" i="1" s="1"/>
  <c r="F26" i="9"/>
  <c r="H385" i="1"/>
  <c r="F20" i="9"/>
  <c r="C39" i="3"/>
  <c r="D40" i="9"/>
  <c r="D39" i="3" s="1"/>
  <c r="G24" i="1"/>
  <c r="F24" i="1" s="1"/>
  <c r="H29" i="8"/>
  <c r="E17" i="9"/>
  <c r="I19" i="8"/>
  <c r="I29" i="8" s="1"/>
  <c r="E229" i="13"/>
  <c r="F229" i="13" s="1"/>
  <c r="F219" i="13"/>
  <c r="G219" i="13" s="1"/>
  <c r="H47" i="1"/>
  <c r="I47" i="1" s="1"/>
  <c r="H216" i="1"/>
  <c r="I216" i="1" s="1"/>
  <c r="H410" i="1"/>
  <c r="D34" i="9"/>
  <c r="D33" i="3" s="1"/>
  <c r="C33" i="3"/>
  <c r="H71" i="1"/>
  <c r="G72" i="1" s="1"/>
  <c r="F72" i="1" s="1"/>
  <c r="F25" i="9"/>
  <c r="C62" i="3" l="1"/>
  <c r="J47" i="1"/>
  <c r="J433" i="1"/>
  <c r="G386" i="1"/>
  <c r="F386" i="1" s="1"/>
  <c r="H386" i="1" s="1"/>
  <c r="I385" i="1"/>
  <c r="G98" i="1"/>
  <c r="F98" i="1" s="1"/>
  <c r="H98" i="1" s="1"/>
  <c r="I97" i="1"/>
  <c r="G146" i="1"/>
  <c r="F146" i="1" s="1"/>
  <c r="H146" i="1" s="1"/>
  <c r="I146" i="1" s="1"/>
  <c r="J146" i="1" s="1"/>
  <c r="I145" i="1"/>
  <c r="G242" i="1"/>
  <c r="F242" i="1" s="1"/>
  <c r="H242" i="1" s="1"/>
  <c r="I241" i="1"/>
  <c r="J241" i="1" s="1"/>
  <c r="G435" i="1"/>
  <c r="F435" i="1" s="1"/>
  <c r="H435" i="1" s="1"/>
  <c r="I434" i="1"/>
  <c r="J434" i="1" s="1"/>
  <c r="G483" i="1"/>
  <c r="F483" i="1" s="1"/>
  <c r="H483" i="1" s="1"/>
  <c r="I483" i="1" s="1"/>
  <c r="J483" i="1" s="1"/>
  <c r="I482" i="1"/>
  <c r="J482" i="1" s="1"/>
  <c r="G290" i="1"/>
  <c r="F290" i="1" s="1"/>
  <c r="H290" i="1" s="1"/>
  <c r="I290" i="1" s="1"/>
  <c r="J290" i="1" s="1"/>
  <c r="I289" i="1"/>
  <c r="J481" i="1"/>
  <c r="G340" i="1"/>
  <c r="F340" i="1" s="1"/>
  <c r="H340" i="1" s="1"/>
  <c r="I340" i="1" s="1"/>
  <c r="J340" i="1" s="1"/>
  <c r="I339" i="1"/>
  <c r="G193" i="1"/>
  <c r="F193" i="1" s="1"/>
  <c r="H193" i="1" s="1"/>
  <c r="I192" i="1"/>
  <c r="J240" i="1"/>
  <c r="G364" i="1"/>
  <c r="F364" i="1" s="1"/>
  <c r="H364" i="1" s="1"/>
  <c r="I363" i="1"/>
  <c r="J363" i="1" s="1"/>
  <c r="J315" i="1"/>
  <c r="G411" i="1"/>
  <c r="F411" i="1" s="1"/>
  <c r="H411" i="1" s="1"/>
  <c r="I410" i="1"/>
  <c r="G123" i="1"/>
  <c r="F123" i="1" s="1"/>
  <c r="H123" i="1" s="1"/>
  <c r="I123" i="1" s="1"/>
  <c r="I122" i="1"/>
  <c r="J122" i="1" s="1"/>
  <c r="G317" i="1"/>
  <c r="F317" i="1" s="1"/>
  <c r="H317" i="1" s="1"/>
  <c r="I316" i="1"/>
  <c r="J316" i="1" s="1"/>
  <c r="J458" i="1"/>
  <c r="J265" i="1"/>
  <c r="G171" i="1"/>
  <c r="F171" i="1" s="1"/>
  <c r="H171" i="1" s="1"/>
  <c r="I170" i="1"/>
  <c r="J170" i="1" s="1"/>
  <c r="G460" i="1"/>
  <c r="F460" i="1" s="1"/>
  <c r="H460" i="1" s="1"/>
  <c r="I459" i="1"/>
  <c r="J459" i="1" s="1"/>
  <c r="G267" i="1"/>
  <c r="F267" i="1" s="1"/>
  <c r="H267" i="1" s="1"/>
  <c r="I267" i="1" s="1"/>
  <c r="J267" i="1" s="1"/>
  <c r="I266" i="1"/>
  <c r="J266" i="1" s="1"/>
  <c r="J216" i="1"/>
  <c r="J362" i="1"/>
  <c r="J121" i="1"/>
  <c r="J169" i="1"/>
  <c r="C42" i="3"/>
  <c r="C36" i="3"/>
  <c r="C35" i="3"/>
  <c r="C41" i="3"/>
  <c r="C38" i="3"/>
  <c r="D38" i="9"/>
  <c r="D37" i="3" s="1"/>
  <c r="D35" i="9"/>
  <c r="D34" i="3" s="1"/>
  <c r="C175" i="8"/>
  <c r="C40" i="3"/>
  <c r="H72" i="1"/>
  <c r="I72" i="1" s="1"/>
  <c r="J72" i="1" s="1"/>
  <c r="I71" i="1"/>
  <c r="F17" i="9"/>
  <c r="G217" i="1"/>
  <c r="F217" i="1" s="1"/>
  <c r="C33" i="9"/>
  <c r="C174" i="8"/>
  <c r="H24" i="1"/>
  <c r="I24" i="1" s="1"/>
  <c r="G229" i="13"/>
  <c r="C29" i="14"/>
  <c r="G48" i="1"/>
  <c r="F48" i="1" s="1"/>
  <c r="G194" i="1" l="1"/>
  <c r="F194" i="1" s="1"/>
  <c r="H194" i="1" s="1"/>
  <c r="I193" i="1"/>
  <c r="J193" i="1" s="1"/>
  <c r="J145" i="1"/>
  <c r="J339" i="1"/>
  <c r="J97" i="1"/>
  <c r="G436" i="1"/>
  <c r="F436" i="1" s="1"/>
  <c r="H436" i="1" s="1"/>
  <c r="I435" i="1"/>
  <c r="J435" i="1" s="1"/>
  <c r="J385" i="1"/>
  <c r="G99" i="1"/>
  <c r="F99" i="1" s="1"/>
  <c r="H99" i="1" s="1"/>
  <c r="I98" i="1"/>
  <c r="J98" i="1" s="1"/>
  <c r="G387" i="1"/>
  <c r="F387" i="1" s="1"/>
  <c r="H387" i="1" s="1"/>
  <c r="I386" i="1"/>
  <c r="J386" i="1" s="1"/>
  <c r="J289" i="1"/>
  <c r="J192" i="1"/>
  <c r="G243" i="1"/>
  <c r="F243" i="1" s="1"/>
  <c r="H243" i="1" s="1"/>
  <c r="I242" i="1"/>
  <c r="J242" i="1" s="1"/>
  <c r="J123" i="1"/>
  <c r="G412" i="1"/>
  <c r="F412" i="1" s="1"/>
  <c r="H412" i="1" s="1"/>
  <c r="I411" i="1"/>
  <c r="J411" i="1" s="1"/>
  <c r="G268" i="1"/>
  <c r="F268" i="1" s="1"/>
  <c r="H268" i="1" s="1"/>
  <c r="J24" i="1"/>
  <c r="G172" i="1"/>
  <c r="F172" i="1" s="1"/>
  <c r="H172" i="1" s="1"/>
  <c r="I171" i="1"/>
  <c r="G461" i="1"/>
  <c r="F461" i="1" s="1"/>
  <c r="H461" i="1" s="1"/>
  <c r="I460" i="1"/>
  <c r="G318" i="1"/>
  <c r="F318" i="1" s="1"/>
  <c r="H318" i="1" s="1"/>
  <c r="I317" i="1"/>
  <c r="J317" i="1" s="1"/>
  <c r="G365" i="1"/>
  <c r="F365" i="1" s="1"/>
  <c r="H365" i="1" s="1"/>
  <c r="I364" i="1"/>
  <c r="J410" i="1"/>
  <c r="G291" i="1"/>
  <c r="F291" i="1" s="1"/>
  <c r="H291" i="1" s="1"/>
  <c r="I291" i="1" s="1"/>
  <c r="J291" i="1" s="1"/>
  <c r="G147" i="1"/>
  <c r="F147" i="1" s="1"/>
  <c r="H147" i="1" s="1"/>
  <c r="I147" i="1" s="1"/>
  <c r="J147" i="1" s="1"/>
  <c r="G124" i="1"/>
  <c r="F124" i="1" s="1"/>
  <c r="H124" i="1" s="1"/>
  <c r="G25" i="1"/>
  <c r="F25" i="1" s="1"/>
  <c r="H25" i="1" s="1"/>
  <c r="I25" i="1" s="1"/>
  <c r="J25" i="1" s="1"/>
  <c r="G73" i="1"/>
  <c r="F73" i="1" s="1"/>
  <c r="H73" i="1" s="1"/>
  <c r="I73" i="1" s="1"/>
  <c r="J73" i="1" s="1"/>
  <c r="H217" i="1"/>
  <c r="H48" i="1"/>
  <c r="I48" i="1" s="1"/>
  <c r="C65" i="3"/>
  <c r="C35" i="14"/>
  <c r="C69" i="3" s="1"/>
  <c r="G484" i="1"/>
  <c r="F484" i="1" s="1"/>
  <c r="C66" i="3"/>
  <c r="C30" i="14"/>
  <c r="C36" i="14" s="1"/>
  <c r="C70" i="3" s="1"/>
  <c r="D33" i="9"/>
  <c r="D32" i="3" s="1"/>
  <c r="C32" i="3"/>
  <c r="G341" i="1"/>
  <c r="F341" i="1" s="1"/>
  <c r="J71" i="1"/>
  <c r="J48" i="1" l="1"/>
  <c r="G100" i="1"/>
  <c r="F100" i="1" s="1"/>
  <c r="I99" i="1"/>
  <c r="J99" i="1" s="1"/>
  <c r="G388" i="1"/>
  <c r="F388" i="1" s="1"/>
  <c r="H388" i="1" s="1"/>
  <c r="I387" i="1"/>
  <c r="G437" i="1"/>
  <c r="F437" i="1" s="1"/>
  <c r="I436" i="1"/>
  <c r="G244" i="1"/>
  <c r="F244" i="1" s="1"/>
  <c r="H244" i="1" s="1"/>
  <c r="I243" i="1"/>
  <c r="J243" i="1" s="1"/>
  <c r="G195" i="1"/>
  <c r="F195" i="1" s="1"/>
  <c r="H195" i="1" s="1"/>
  <c r="I194" i="1"/>
  <c r="G366" i="1"/>
  <c r="F366" i="1" s="1"/>
  <c r="H366" i="1" s="1"/>
  <c r="I365" i="1"/>
  <c r="J365" i="1" s="1"/>
  <c r="G125" i="1"/>
  <c r="F125" i="1" s="1"/>
  <c r="H125" i="1" s="1"/>
  <c r="I124" i="1"/>
  <c r="J460" i="1"/>
  <c r="G269" i="1"/>
  <c r="F269" i="1" s="1"/>
  <c r="H269" i="1" s="1"/>
  <c r="I268" i="1"/>
  <c r="G173" i="1"/>
  <c r="F173" i="1" s="1"/>
  <c r="H173" i="1" s="1"/>
  <c r="I172" i="1"/>
  <c r="J172" i="1" s="1"/>
  <c r="G462" i="1"/>
  <c r="F462" i="1" s="1"/>
  <c r="H462" i="1" s="1"/>
  <c r="I462" i="1" s="1"/>
  <c r="J462" i="1" s="1"/>
  <c r="I461" i="1"/>
  <c r="J461" i="1" s="1"/>
  <c r="G218" i="1"/>
  <c r="F218" i="1" s="1"/>
  <c r="H218" i="1" s="1"/>
  <c r="I217" i="1"/>
  <c r="G413" i="1"/>
  <c r="F413" i="1" s="1"/>
  <c r="H413" i="1" s="1"/>
  <c r="I412" i="1"/>
  <c r="J364" i="1"/>
  <c r="J171" i="1"/>
  <c r="G319" i="1"/>
  <c r="F319" i="1" s="1"/>
  <c r="H319" i="1" s="1"/>
  <c r="I318" i="1"/>
  <c r="J318" i="1" s="1"/>
  <c r="G292" i="1"/>
  <c r="F292" i="1" s="1"/>
  <c r="H292" i="1" s="1"/>
  <c r="I292" i="1" s="1"/>
  <c r="J292" i="1" s="1"/>
  <c r="G148" i="1"/>
  <c r="F148" i="1" s="1"/>
  <c r="H148" i="1" s="1"/>
  <c r="G26" i="1"/>
  <c r="F26" i="1" s="1"/>
  <c r="H26" i="1" s="1"/>
  <c r="I26" i="1" s="1"/>
  <c r="J26" i="1" s="1"/>
  <c r="G49" i="1"/>
  <c r="F49" i="1" s="1"/>
  <c r="H49" i="1" s="1"/>
  <c r="G74" i="1"/>
  <c r="F74" i="1" s="1"/>
  <c r="H74" i="1" s="1"/>
  <c r="H341" i="1"/>
  <c r="H484" i="1"/>
  <c r="I484" i="1" s="1"/>
  <c r="G463" i="1" l="1"/>
  <c r="F463" i="1" s="1"/>
  <c r="H463" i="1" s="1"/>
  <c r="G50" i="1"/>
  <c r="F50" i="1" s="1"/>
  <c r="H50" i="1" s="1"/>
  <c r="I49" i="1"/>
  <c r="G245" i="1"/>
  <c r="F245" i="1" s="1"/>
  <c r="H245" i="1" s="1"/>
  <c r="I244" i="1"/>
  <c r="J484" i="1"/>
  <c r="J436" i="1"/>
  <c r="J387" i="1"/>
  <c r="H437" i="1"/>
  <c r="I437" i="1" s="1"/>
  <c r="J437" i="1" s="1"/>
  <c r="G389" i="1"/>
  <c r="F389" i="1" s="1"/>
  <c r="H389" i="1" s="1"/>
  <c r="I388" i="1"/>
  <c r="J388" i="1" s="1"/>
  <c r="J194" i="1"/>
  <c r="G342" i="1"/>
  <c r="F342" i="1" s="1"/>
  <c r="H342" i="1" s="1"/>
  <c r="I341" i="1"/>
  <c r="G196" i="1"/>
  <c r="F196" i="1" s="1"/>
  <c r="H196" i="1" s="1"/>
  <c r="I195" i="1"/>
  <c r="J195" i="1" s="1"/>
  <c r="H100" i="1"/>
  <c r="I100" i="1" s="1"/>
  <c r="G149" i="1"/>
  <c r="F149" i="1" s="1"/>
  <c r="H149" i="1" s="1"/>
  <c r="I149" i="1" s="1"/>
  <c r="J149" i="1" s="1"/>
  <c r="I148" i="1"/>
  <c r="G219" i="1"/>
  <c r="F219" i="1" s="1"/>
  <c r="H219" i="1" s="1"/>
  <c r="I218" i="1"/>
  <c r="J218" i="1" s="1"/>
  <c r="G320" i="1"/>
  <c r="F320" i="1" s="1"/>
  <c r="H320" i="1" s="1"/>
  <c r="I319" i="1"/>
  <c r="J319" i="1" s="1"/>
  <c r="G414" i="1"/>
  <c r="F414" i="1" s="1"/>
  <c r="H414" i="1" s="1"/>
  <c r="I413" i="1"/>
  <c r="J413" i="1" s="1"/>
  <c r="G367" i="1"/>
  <c r="F367" i="1" s="1"/>
  <c r="H367" i="1" s="1"/>
  <c r="I366" i="1"/>
  <c r="J124" i="1"/>
  <c r="G270" i="1"/>
  <c r="F270" i="1" s="1"/>
  <c r="H270" i="1" s="1"/>
  <c r="I269" i="1"/>
  <c r="J269" i="1" s="1"/>
  <c r="G174" i="1"/>
  <c r="F174" i="1" s="1"/>
  <c r="H174" i="1" s="1"/>
  <c r="I173" i="1"/>
  <c r="J217" i="1"/>
  <c r="J412" i="1"/>
  <c r="G126" i="1"/>
  <c r="F126" i="1" s="1"/>
  <c r="H126" i="1" s="1"/>
  <c r="I125" i="1"/>
  <c r="J125" i="1" s="1"/>
  <c r="J268" i="1"/>
  <c r="G293" i="1"/>
  <c r="F293" i="1" s="1"/>
  <c r="H293" i="1" s="1"/>
  <c r="I74" i="1"/>
  <c r="G27" i="1"/>
  <c r="F27" i="1" s="1"/>
  <c r="H27" i="1" s="1"/>
  <c r="I27" i="1" s="1"/>
  <c r="J27" i="1" s="1"/>
  <c r="G485" i="1"/>
  <c r="F485" i="1" s="1"/>
  <c r="G75" i="1"/>
  <c r="F75" i="1" s="1"/>
  <c r="G438" i="1" l="1"/>
  <c r="F438" i="1" s="1"/>
  <c r="H438" i="1" s="1"/>
  <c r="G439" i="1" s="1"/>
  <c r="F439" i="1" s="1"/>
  <c r="H439" i="1" s="1"/>
  <c r="G51" i="1"/>
  <c r="F51" i="1" s="1"/>
  <c r="H51" i="1" s="1"/>
  <c r="I50" i="1"/>
  <c r="J50" i="1" s="1"/>
  <c r="J49" i="1"/>
  <c r="G101" i="1"/>
  <c r="F101" i="1" s="1"/>
  <c r="J100" i="1"/>
  <c r="G390" i="1"/>
  <c r="F390" i="1" s="1"/>
  <c r="H390" i="1" s="1"/>
  <c r="I389" i="1"/>
  <c r="J389" i="1" s="1"/>
  <c r="I438" i="1"/>
  <c r="G294" i="1"/>
  <c r="F294" i="1" s="1"/>
  <c r="H294" i="1" s="1"/>
  <c r="I293" i="1"/>
  <c r="G197" i="1"/>
  <c r="F197" i="1" s="1"/>
  <c r="H197" i="1" s="1"/>
  <c r="I196" i="1"/>
  <c r="J196" i="1" s="1"/>
  <c r="J244" i="1"/>
  <c r="J341" i="1"/>
  <c r="G246" i="1"/>
  <c r="F246" i="1" s="1"/>
  <c r="H246" i="1" s="1"/>
  <c r="I245" i="1"/>
  <c r="J245" i="1" s="1"/>
  <c r="G343" i="1"/>
  <c r="F343" i="1" s="1"/>
  <c r="H343" i="1" s="1"/>
  <c r="I342" i="1"/>
  <c r="J342" i="1" s="1"/>
  <c r="J148" i="1"/>
  <c r="G271" i="1"/>
  <c r="F271" i="1" s="1"/>
  <c r="H271" i="1" s="1"/>
  <c r="I270" i="1"/>
  <c r="J270" i="1" s="1"/>
  <c r="G464" i="1"/>
  <c r="F464" i="1" s="1"/>
  <c r="H464" i="1" s="1"/>
  <c r="I463" i="1"/>
  <c r="G127" i="1"/>
  <c r="F127" i="1" s="1"/>
  <c r="H127" i="1" s="1"/>
  <c r="I126" i="1"/>
  <c r="J126" i="1" s="1"/>
  <c r="G415" i="1"/>
  <c r="F415" i="1" s="1"/>
  <c r="H415" i="1" s="1"/>
  <c r="I414" i="1"/>
  <c r="J414" i="1" s="1"/>
  <c r="G220" i="1"/>
  <c r="F220" i="1" s="1"/>
  <c r="H220" i="1" s="1"/>
  <c r="I219" i="1"/>
  <c r="G321" i="1"/>
  <c r="F321" i="1" s="1"/>
  <c r="H321" i="1" s="1"/>
  <c r="I320" i="1"/>
  <c r="J320" i="1" s="1"/>
  <c r="J173" i="1"/>
  <c r="G175" i="1"/>
  <c r="F175" i="1" s="1"/>
  <c r="H175" i="1" s="1"/>
  <c r="I174" i="1"/>
  <c r="J174" i="1" s="1"/>
  <c r="G368" i="1"/>
  <c r="F368" i="1" s="1"/>
  <c r="H368" i="1" s="1"/>
  <c r="I367" i="1"/>
  <c r="J367" i="1" s="1"/>
  <c r="J366" i="1"/>
  <c r="G150" i="1"/>
  <c r="F150" i="1" s="1"/>
  <c r="H150" i="1" s="1"/>
  <c r="I150" i="1" s="1"/>
  <c r="J150" i="1" s="1"/>
  <c r="J74" i="1"/>
  <c r="G28" i="1"/>
  <c r="F28" i="1" s="1"/>
  <c r="H28" i="1" s="1"/>
  <c r="H485" i="1"/>
  <c r="H75" i="1"/>
  <c r="G52" i="1" l="1"/>
  <c r="F52" i="1" s="1"/>
  <c r="H52" i="1" s="1"/>
  <c r="I51" i="1"/>
  <c r="G344" i="1"/>
  <c r="F344" i="1" s="1"/>
  <c r="H344" i="1" s="1"/>
  <c r="I343" i="1"/>
  <c r="J343" i="1" s="1"/>
  <c r="G391" i="1"/>
  <c r="F391" i="1" s="1"/>
  <c r="H391" i="1" s="1"/>
  <c r="I390" i="1"/>
  <c r="G198" i="1"/>
  <c r="F198" i="1" s="1"/>
  <c r="H198" i="1" s="1"/>
  <c r="I197" i="1"/>
  <c r="G247" i="1"/>
  <c r="F247" i="1" s="1"/>
  <c r="H247" i="1" s="1"/>
  <c r="I246" i="1"/>
  <c r="J246" i="1" s="1"/>
  <c r="J293" i="1"/>
  <c r="H101" i="1"/>
  <c r="I101" i="1" s="1"/>
  <c r="G486" i="1"/>
  <c r="F486" i="1" s="1"/>
  <c r="H486" i="1" s="1"/>
  <c r="I485" i="1"/>
  <c r="G295" i="1"/>
  <c r="F295" i="1" s="1"/>
  <c r="H295" i="1" s="1"/>
  <c r="I294" i="1"/>
  <c r="J294" i="1" s="1"/>
  <c r="J438" i="1"/>
  <c r="G440" i="1"/>
  <c r="F440" i="1" s="1"/>
  <c r="H440" i="1" s="1"/>
  <c r="I439" i="1"/>
  <c r="J439" i="1" s="1"/>
  <c r="G369" i="1"/>
  <c r="F369" i="1" s="1"/>
  <c r="H369" i="1" s="1"/>
  <c r="I368" i="1"/>
  <c r="G176" i="1"/>
  <c r="F176" i="1" s="1"/>
  <c r="H176" i="1" s="1"/>
  <c r="I175" i="1"/>
  <c r="J175" i="1" s="1"/>
  <c r="G221" i="1"/>
  <c r="F221" i="1" s="1"/>
  <c r="H221" i="1" s="1"/>
  <c r="I220" i="1"/>
  <c r="J220" i="1" s="1"/>
  <c r="G465" i="1"/>
  <c r="F465" i="1" s="1"/>
  <c r="H465" i="1" s="1"/>
  <c r="I464" i="1"/>
  <c r="J464" i="1" s="1"/>
  <c r="J219" i="1"/>
  <c r="J463" i="1"/>
  <c r="G128" i="1"/>
  <c r="F128" i="1" s="1"/>
  <c r="H128" i="1" s="1"/>
  <c r="I127" i="1"/>
  <c r="J127" i="1" s="1"/>
  <c r="G29" i="1"/>
  <c r="F29" i="1" s="1"/>
  <c r="H29" i="1" s="1"/>
  <c r="I28" i="1"/>
  <c r="G322" i="1"/>
  <c r="F322" i="1" s="1"/>
  <c r="H322" i="1" s="1"/>
  <c r="I321" i="1"/>
  <c r="J321" i="1" s="1"/>
  <c r="G272" i="1"/>
  <c r="F272" i="1" s="1"/>
  <c r="H272" i="1" s="1"/>
  <c r="I271" i="1"/>
  <c r="G416" i="1"/>
  <c r="F416" i="1" s="1"/>
  <c r="H416" i="1" s="1"/>
  <c r="I415" i="1"/>
  <c r="G151" i="1"/>
  <c r="F151" i="1" s="1"/>
  <c r="H151" i="1" s="1"/>
  <c r="I75" i="1"/>
  <c r="G76" i="1"/>
  <c r="F76" i="1" s="1"/>
  <c r="G102" i="1" l="1"/>
  <c r="F102" i="1" s="1"/>
  <c r="H102" i="1" s="1"/>
  <c r="I102" i="1" s="1"/>
  <c r="J102" i="1" s="1"/>
  <c r="J51" i="1"/>
  <c r="G53" i="1"/>
  <c r="F53" i="1" s="1"/>
  <c r="H53" i="1" s="1"/>
  <c r="I52" i="1"/>
  <c r="J52" i="1" s="1"/>
  <c r="G152" i="1"/>
  <c r="F152" i="1" s="1"/>
  <c r="H152" i="1" s="1"/>
  <c r="I151" i="1"/>
  <c r="J151" i="1" s="1"/>
  <c r="G296" i="1"/>
  <c r="F296" i="1" s="1"/>
  <c r="H296" i="1" s="1"/>
  <c r="I295" i="1"/>
  <c r="J295" i="1" s="1"/>
  <c r="J390" i="1"/>
  <c r="J101" i="1"/>
  <c r="G392" i="1"/>
  <c r="F392" i="1" s="1"/>
  <c r="H392" i="1" s="1"/>
  <c r="I391" i="1"/>
  <c r="J391" i="1" s="1"/>
  <c r="G441" i="1"/>
  <c r="F441" i="1" s="1"/>
  <c r="H441" i="1" s="1"/>
  <c r="I440" i="1"/>
  <c r="J440" i="1" s="1"/>
  <c r="G248" i="1"/>
  <c r="F248" i="1" s="1"/>
  <c r="H248" i="1" s="1"/>
  <c r="I247" i="1"/>
  <c r="J247" i="1" s="1"/>
  <c r="G345" i="1"/>
  <c r="F345" i="1" s="1"/>
  <c r="H345" i="1" s="1"/>
  <c r="I344" i="1"/>
  <c r="J485" i="1"/>
  <c r="J197" i="1"/>
  <c r="G487" i="1"/>
  <c r="F487" i="1" s="1"/>
  <c r="H487" i="1" s="1"/>
  <c r="I486" i="1"/>
  <c r="J486" i="1" s="1"/>
  <c r="G199" i="1"/>
  <c r="F199" i="1" s="1"/>
  <c r="H199" i="1" s="1"/>
  <c r="I198" i="1"/>
  <c r="J198" i="1" s="1"/>
  <c r="G417" i="1"/>
  <c r="F417" i="1" s="1"/>
  <c r="H417" i="1" s="1"/>
  <c r="I416" i="1"/>
  <c r="J416" i="1" s="1"/>
  <c r="J28" i="1"/>
  <c r="G177" i="1"/>
  <c r="F177" i="1" s="1"/>
  <c r="H177" i="1" s="1"/>
  <c r="I176" i="1"/>
  <c r="G323" i="1"/>
  <c r="F323" i="1" s="1"/>
  <c r="H323" i="1" s="1"/>
  <c r="I322" i="1"/>
  <c r="J322" i="1" s="1"/>
  <c r="G466" i="1"/>
  <c r="F466" i="1" s="1"/>
  <c r="H466" i="1" s="1"/>
  <c r="I465" i="1"/>
  <c r="J368" i="1"/>
  <c r="J415" i="1"/>
  <c r="G30" i="1"/>
  <c r="F30" i="1" s="1"/>
  <c r="H30" i="1" s="1"/>
  <c r="I29" i="1"/>
  <c r="J29" i="1" s="1"/>
  <c r="G129" i="1"/>
  <c r="F129" i="1" s="1"/>
  <c r="H129" i="1" s="1"/>
  <c r="I128" i="1"/>
  <c r="J128" i="1" s="1"/>
  <c r="G370" i="1"/>
  <c r="F370" i="1" s="1"/>
  <c r="H370" i="1" s="1"/>
  <c r="I369" i="1"/>
  <c r="J369" i="1" s="1"/>
  <c r="J271" i="1"/>
  <c r="G222" i="1"/>
  <c r="F222" i="1" s="1"/>
  <c r="H222" i="1" s="1"/>
  <c r="I221" i="1"/>
  <c r="G273" i="1"/>
  <c r="F273" i="1" s="1"/>
  <c r="H273" i="1" s="1"/>
  <c r="I272" i="1"/>
  <c r="J272" i="1" s="1"/>
  <c r="J75" i="1"/>
  <c r="H76" i="1"/>
  <c r="G103" i="1" l="1"/>
  <c r="F103" i="1" s="1"/>
  <c r="H103" i="1" s="1"/>
  <c r="I103" i="1" s="1"/>
  <c r="J103" i="1" s="1"/>
  <c r="G54" i="1"/>
  <c r="F54" i="1" s="1"/>
  <c r="H54" i="1" s="1"/>
  <c r="I53" i="1"/>
  <c r="J53" i="1" s="1"/>
  <c r="G153" i="1"/>
  <c r="F153" i="1" s="1"/>
  <c r="H153" i="1" s="1"/>
  <c r="I152" i="1"/>
  <c r="J152" i="1" s="1"/>
  <c r="G488" i="1"/>
  <c r="F488" i="1" s="1"/>
  <c r="H488" i="1" s="1"/>
  <c r="I487" i="1"/>
  <c r="G249" i="1"/>
  <c r="F249" i="1" s="1"/>
  <c r="H249" i="1" s="1"/>
  <c r="I248" i="1"/>
  <c r="J248" i="1" s="1"/>
  <c r="G442" i="1"/>
  <c r="F442" i="1" s="1"/>
  <c r="H442" i="1" s="1"/>
  <c r="I441" i="1"/>
  <c r="J441" i="1" s="1"/>
  <c r="G346" i="1"/>
  <c r="F346" i="1" s="1"/>
  <c r="H346" i="1" s="1"/>
  <c r="I345" i="1"/>
  <c r="J345" i="1" s="1"/>
  <c r="G393" i="1"/>
  <c r="F393" i="1" s="1"/>
  <c r="H393" i="1" s="1"/>
  <c r="I392" i="1"/>
  <c r="G297" i="1"/>
  <c r="F297" i="1" s="1"/>
  <c r="H297" i="1" s="1"/>
  <c r="I296" i="1"/>
  <c r="J296" i="1" s="1"/>
  <c r="J344" i="1"/>
  <c r="G200" i="1"/>
  <c r="F200" i="1" s="1"/>
  <c r="H200" i="1" s="1"/>
  <c r="I199" i="1"/>
  <c r="G223" i="1"/>
  <c r="F223" i="1" s="1"/>
  <c r="H223" i="1" s="1"/>
  <c r="I222" i="1"/>
  <c r="J222" i="1" s="1"/>
  <c r="G130" i="1"/>
  <c r="F130" i="1" s="1"/>
  <c r="H130" i="1" s="1"/>
  <c r="I129" i="1"/>
  <c r="J129" i="1" s="1"/>
  <c r="G324" i="1"/>
  <c r="F324" i="1" s="1"/>
  <c r="H324" i="1" s="1"/>
  <c r="I323" i="1"/>
  <c r="J323" i="1" s="1"/>
  <c r="G371" i="1"/>
  <c r="F371" i="1" s="1"/>
  <c r="H371" i="1" s="1"/>
  <c r="I370" i="1"/>
  <c r="J370" i="1" s="1"/>
  <c r="J176" i="1"/>
  <c r="G418" i="1"/>
  <c r="F418" i="1" s="1"/>
  <c r="H418" i="1" s="1"/>
  <c r="I417" i="1"/>
  <c r="G31" i="1"/>
  <c r="F31" i="1" s="1"/>
  <c r="H31" i="1" s="1"/>
  <c r="I30" i="1"/>
  <c r="J30" i="1" s="1"/>
  <c r="G467" i="1"/>
  <c r="F467" i="1" s="1"/>
  <c r="H467" i="1" s="1"/>
  <c r="I466" i="1"/>
  <c r="J466" i="1" s="1"/>
  <c r="G274" i="1"/>
  <c r="F274" i="1" s="1"/>
  <c r="H274" i="1" s="1"/>
  <c r="I273" i="1"/>
  <c r="J273" i="1" s="1"/>
  <c r="J465" i="1"/>
  <c r="G178" i="1"/>
  <c r="F178" i="1" s="1"/>
  <c r="H178" i="1" s="1"/>
  <c r="I177" i="1"/>
  <c r="J177" i="1" s="1"/>
  <c r="J221" i="1"/>
  <c r="I76" i="1"/>
  <c r="G77" i="1"/>
  <c r="F77" i="1" s="1"/>
  <c r="H77" i="1" s="1"/>
  <c r="I77" i="1" s="1"/>
  <c r="J77" i="1" s="1"/>
  <c r="G55" i="1" l="1"/>
  <c r="F55" i="1" s="1"/>
  <c r="H55" i="1" s="1"/>
  <c r="I54" i="1"/>
  <c r="J54" i="1" s="1"/>
  <c r="G298" i="1"/>
  <c r="F298" i="1" s="1"/>
  <c r="H298" i="1" s="1"/>
  <c r="I297" i="1"/>
  <c r="J297" i="1" s="1"/>
  <c r="G489" i="1"/>
  <c r="F489" i="1" s="1"/>
  <c r="H489" i="1" s="1"/>
  <c r="I488" i="1"/>
  <c r="J488" i="1" s="1"/>
  <c r="G443" i="1"/>
  <c r="F443" i="1" s="1"/>
  <c r="H443" i="1" s="1"/>
  <c r="I442" i="1"/>
  <c r="J442" i="1" s="1"/>
  <c r="G154" i="1"/>
  <c r="F154" i="1" s="1"/>
  <c r="H154" i="1" s="1"/>
  <c r="I153" i="1"/>
  <c r="J153" i="1" s="1"/>
  <c r="J392" i="1"/>
  <c r="G394" i="1"/>
  <c r="F394" i="1" s="1"/>
  <c r="H394" i="1" s="1"/>
  <c r="I393" i="1"/>
  <c r="J393" i="1" s="1"/>
  <c r="G250" i="1"/>
  <c r="F250" i="1" s="1"/>
  <c r="H250" i="1" s="1"/>
  <c r="I249" i="1"/>
  <c r="J249" i="1" s="1"/>
  <c r="J199" i="1"/>
  <c r="J487" i="1"/>
  <c r="G201" i="1"/>
  <c r="F201" i="1" s="1"/>
  <c r="H201" i="1" s="1"/>
  <c r="I200" i="1"/>
  <c r="J200" i="1" s="1"/>
  <c r="G347" i="1"/>
  <c r="F347" i="1" s="1"/>
  <c r="H347" i="1" s="1"/>
  <c r="I346" i="1"/>
  <c r="J346" i="1" s="1"/>
  <c r="G104" i="1"/>
  <c r="F104" i="1" s="1"/>
  <c r="H104" i="1" s="1"/>
  <c r="G179" i="1"/>
  <c r="F179" i="1" s="1"/>
  <c r="H179" i="1" s="1"/>
  <c r="I178" i="1"/>
  <c r="J178" i="1" s="1"/>
  <c r="G419" i="1"/>
  <c r="F419" i="1" s="1"/>
  <c r="H419" i="1" s="1"/>
  <c r="I418" i="1"/>
  <c r="J418" i="1" s="1"/>
  <c r="G131" i="1"/>
  <c r="F131" i="1" s="1"/>
  <c r="H131" i="1" s="1"/>
  <c r="I131" i="1" s="1"/>
  <c r="I130" i="1"/>
  <c r="J130" i="1" s="1"/>
  <c r="G325" i="1"/>
  <c r="F325" i="1" s="1"/>
  <c r="H325" i="1" s="1"/>
  <c r="I324" i="1"/>
  <c r="J324" i="1" s="1"/>
  <c r="G372" i="1"/>
  <c r="F372" i="1" s="1"/>
  <c r="H372" i="1" s="1"/>
  <c r="I371" i="1"/>
  <c r="J371" i="1" s="1"/>
  <c r="G275" i="1"/>
  <c r="F275" i="1" s="1"/>
  <c r="H275" i="1" s="1"/>
  <c r="I275" i="1" s="1"/>
  <c r="I274" i="1"/>
  <c r="J274" i="1" s="1"/>
  <c r="J417" i="1"/>
  <c r="G32" i="1"/>
  <c r="F32" i="1" s="1"/>
  <c r="H32" i="1" s="1"/>
  <c r="I31" i="1"/>
  <c r="J31" i="1" s="1"/>
  <c r="G224" i="1"/>
  <c r="F224" i="1" s="1"/>
  <c r="H224" i="1" s="1"/>
  <c r="I223" i="1"/>
  <c r="G468" i="1"/>
  <c r="F468" i="1" s="1"/>
  <c r="H468" i="1" s="1"/>
  <c r="I467" i="1"/>
  <c r="J467" i="1" s="1"/>
  <c r="J76" i="1"/>
  <c r="G78" i="1"/>
  <c r="F78" i="1" s="1"/>
  <c r="H78" i="1" s="1"/>
  <c r="I78" i="1" s="1"/>
  <c r="J78" i="1" s="1"/>
  <c r="G328" i="1" l="1"/>
  <c r="H276" i="1"/>
  <c r="G278" i="1"/>
  <c r="G56" i="1"/>
  <c r="F56" i="1" s="1"/>
  <c r="H56" i="1" s="1"/>
  <c r="I55" i="1"/>
  <c r="J55" i="1" s="1"/>
  <c r="G299" i="1"/>
  <c r="F299" i="1" s="1"/>
  <c r="H299" i="1" s="1"/>
  <c r="I299" i="1" s="1"/>
  <c r="I298" i="1"/>
  <c r="J298" i="1" s="1"/>
  <c r="G348" i="1"/>
  <c r="F348" i="1" s="1"/>
  <c r="H348" i="1" s="1"/>
  <c r="I347" i="1"/>
  <c r="J347" i="1" s="1"/>
  <c r="G105" i="1"/>
  <c r="F105" i="1" s="1"/>
  <c r="H105" i="1" s="1"/>
  <c r="I104" i="1"/>
  <c r="J104" i="1" s="1"/>
  <c r="G490" i="1"/>
  <c r="F490" i="1" s="1"/>
  <c r="H490" i="1" s="1"/>
  <c r="I489" i="1"/>
  <c r="G155" i="1"/>
  <c r="F155" i="1" s="1"/>
  <c r="H155" i="1" s="1"/>
  <c r="I155" i="1" s="1"/>
  <c r="I154" i="1"/>
  <c r="J154" i="1" s="1"/>
  <c r="G444" i="1"/>
  <c r="F444" i="1" s="1"/>
  <c r="H444" i="1" s="1"/>
  <c r="I443" i="1"/>
  <c r="J443" i="1" s="1"/>
  <c r="G251" i="1"/>
  <c r="F251" i="1" s="1"/>
  <c r="H251" i="1" s="1"/>
  <c r="I250" i="1"/>
  <c r="J250" i="1" s="1"/>
  <c r="G202" i="1"/>
  <c r="F202" i="1" s="1"/>
  <c r="H202" i="1" s="1"/>
  <c r="I201" i="1"/>
  <c r="J201" i="1" s="1"/>
  <c r="G395" i="1"/>
  <c r="F395" i="1" s="1"/>
  <c r="H395" i="1" s="1"/>
  <c r="I394" i="1"/>
  <c r="J394" i="1" s="1"/>
  <c r="H469" i="1"/>
  <c r="I468" i="1"/>
  <c r="H326" i="1"/>
  <c r="I325" i="1"/>
  <c r="H373" i="1"/>
  <c r="I372" i="1"/>
  <c r="H180" i="1"/>
  <c r="I179" i="1"/>
  <c r="G420" i="1"/>
  <c r="F420" i="1" s="1"/>
  <c r="H420" i="1" s="1"/>
  <c r="I419" i="1"/>
  <c r="J419" i="1" s="1"/>
  <c r="G225" i="1"/>
  <c r="F225" i="1" s="1"/>
  <c r="H225" i="1" s="1"/>
  <c r="I224" i="1"/>
  <c r="J224" i="1" s="1"/>
  <c r="J275" i="1"/>
  <c r="J276" i="1" s="1"/>
  <c r="I276" i="1"/>
  <c r="J223" i="1"/>
  <c r="J131" i="1"/>
  <c r="J132" i="1" s="1"/>
  <c r="I132" i="1"/>
  <c r="G33" i="1"/>
  <c r="F33" i="1" s="1"/>
  <c r="H33" i="1" s="1"/>
  <c r="I32" i="1"/>
  <c r="J32" i="1" s="1"/>
  <c r="G134" i="1"/>
  <c r="H132" i="1"/>
  <c r="G375" i="1"/>
  <c r="G182" i="1"/>
  <c r="G471" i="1"/>
  <c r="G79" i="1"/>
  <c r="F79" i="1" s="1"/>
  <c r="G447" i="1" l="1"/>
  <c r="G57" i="1"/>
  <c r="F57" i="1" s="1"/>
  <c r="H57" i="1" s="1"/>
  <c r="I56" i="1"/>
  <c r="J56" i="1" s="1"/>
  <c r="J155" i="1"/>
  <c r="J156" i="1" s="1"/>
  <c r="I156" i="1"/>
  <c r="C19" i="9" s="1"/>
  <c r="J299" i="1"/>
  <c r="J300" i="1" s="1"/>
  <c r="I300" i="1"/>
  <c r="C22" i="9" s="1"/>
  <c r="D22" i="9" s="1"/>
  <c r="H22" i="9" s="1"/>
  <c r="D22" i="3" s="1"/>
  <c r="J489" i="1"/>
  <c r="G396" i="1"/>
  <c r="F396" i="1" s="1"/>
  <c r="I395" i="1"/>
  <c r="J395" i="1" s="1"/>
  <c r="G203" i="1"/>
  <c r="F203" i="1" s="1"/>
  <c r="I202" i="1"/>
  <c r="J202" i="1" s="1"/>
  <c r="G106" i="1"/>
  <c r="F106" i="1" s="1"/>
  <c r="H106" i="1" s="1"/>
  <c r="I105" i="1"/>
  <c r="J105" i="1" s="1"/>
  <c r="G349" i="1"/>
  <c r="F349" i="1" s="1"/>
  <c r="H349" i="1" s="1"/>
  <c r="I348" i="1"/>
  <c r="J348" i="1" s="1"/>
  <c r="G254" i="1"/>
  <c r="H445" i="1"/>
  <c r="I444" i="1"/>
  <c r="H252" i="1"/>
  <c r="I251" i="1"/>
  <c r="G491" i="1"/>
  <c r="F491" i="1" s="1"/>
  <c r="H491" i="1" s="1"/>
  <c r="I490" i="1"/>
  <c r="J490" i="1" s="1"/>
  <c r="J179" i="1"/>
  <c r="J180" i="1" s="1"/>
  <c r="I180" i="1"/>
  <c r="J372" i="1"/>
  <c r="J373" i="1" s="1"/>
  <c r="I373" i="1"/>
  <c r="J325" i="1"/>
  <c r="J326" i="1" s="1"/>
  <c r="I326" i="1"/>
  <c r="G34" i="1"/>
  <c r="F34" i="1" s="1"/>
  <c r="H34" i="1" s="1"/>
  <c r="I34" i="1" s="1"/>
  <c r="I33" i="1"/>
  <c r="J33" i="1" s="1"/>
  <c r="G226" i="1"/>
  <c r="F226" i="1" s="1"/>
  <c r="H226" i="1" s="1"/>
  <c r="I225" i="1"/>
  <c r="J225" i="1" s="1"/>
  <c r="H421" i="1"/>
  <c r="I420" i="1"/>
  <c r="J468" i="1"/>
  <c r="J469" i="1" s="1"/>
  <c r="I469" i="1"/>
  <c r="G302" i="1"/>
  <c r="H300" i="1"/>
  <c r="G158" i="1"/>
  <c r="H156" i="1"/>
  <c r="G423" i="1"/>
  <c r="H79" i="1"/>
  <c r="I79" i="1" s="1"/>
  <c r="G19" i="9" l="1"/>
  <c r="C19" i="3" s="1"/>
  <c r="D19" i="9"/>
  <c r="H19" i="9" s="1"/>
  <c r="D19" i="3" s="1"/>
  <c r="G22" i="9"/>
  <c r="C22" i="3" s="1"/>
  <c r="G58" i="1"/>
  <c r="F58" i="1" s="1"/>
  <c r="H58" i="1" s="1"/>
  <c r="I57" i="1"/>
  <c r="J57" i="1" s="1"/>
  <c r="G492" i="1"/>
  <c r="F492" i="1" s="1"/>
  <c r="H492" i="1" s="1"/>
  <c r="I491" i="1"/>
  <c r="J491" i="1" s="1"/>
  <c r="H396" i="1"/>
  <c r="G399" i="1" s="1"/>
  <c r="J251" i="1"/>
  <c r="J252" i="1" s="1"/>
  <c r="I252" i="1"/>
  <c r="J444" i="1"/>
  <c r="J445" i="1" s="1"/>
  <c r="I445" i="1"/>
  <c r="G107" i="1"/>
  <c r="F107" i="1" s="1"/>
  <c r="I106" i="1"/>
  <c r="J106" i="1" s="1"/>
  <c r="H350" i="1"/>
  <c r="I349" i="1"/>
  <c r="H203" i="1"/>
  <c r="J34" i="1"/>
  <c r="J35" i="1" s="1"/>
  <c r="I35" i="1"/>
  <c r="J420" i="1"/>
  <c r="J421" i="1" s="1"/>
  <c r="I421" i="1"/>
  <c r="H227" i="1"/>
  <c r="I226" i="1"/>
  <c r="J79" i="1"/>
  <c r="J83" i="1" s="1"/>
  <c r="I83" i="1"/>
  <c r="G37" i="1"/>
  <c r="H35" i="1"/>
  <c r="G352" i="1"/>
  <c r="G80" i="1"/>
  <c r="F80" i="1" s="1"/>
  <c r="H80" i="1" s="1"/>
  <c r="G81" i="1" s="1"/>
  <c r="F81" i="1" s="1"/>
  <c r="G229" i="1"/>
  <c r="C25" i="9" l="1"/>
  <c r="H59" i="1"/>
  <c r="I58" i="1"/>
  <c r="H204" i="1"/>
  <c r="I203" i="1"/>
  <c r="J349" i="1"/>
  <c r="J350" i="1" s="1"/>
  <c r="I350" i="1"/>
  <c r="C23" i="9" s="1"/>
  <c r="H397" i="1"/>
  <c r="I396" i="1"/>
  <c r="H493" i="1"/>
  <c r="I492" i="1"/>
  <c r="H107" i="1"/>
  <c r="G110" i="1" s="1"/>
  <c r="G206" i="1"/>
  <c r="J226" i="1"/>
  <c r="J227" i="1" s="1"/>
  <c r="I227" i="1"/>
  <c r="C21" i="9" s="1"/>
  <c r="D25" i="9"/>
  <c r="H25" i="9" s="1"/>
  <c r="D25" i="3" s="1"/>
  <c r="G25" i="9"/>
  <c r="C25" i="3" s="1"/>
  <c r="G61" i="1"/>
  <c r="G495" i="1"/>
  <c r="H81" i="1"/>
  <c r="G82" i="1" s="1"/>
  <c r="F82" i="1" s="1"/>
  <c r="J58" i="1" l="1"/>
  <c r="J59" i="1" s="1"/>
  <c r="I59" i="1"/>
  <c r="C17" i="9" s="1"/>
  <c r="J492" i="1"/>
  <c r="J493" i="1" s="1"/>
  <c r="I493" i="1"/>
  <c r="J396" i="1"/>
  <c r="J397" i="1" s="1"/>
  <c r="I397" i="1"/>
  <c r="C24" i="9" s="1"/>
  <c r="G23" i="9"/>
  <c r="C23" i="3" s="1"/>
  <c r="D23" i="9"/>
  <c r="H23" i="9" s="1"/>
  <c r="D23" i="3" s="1"/>
  <c r="J203" i="1"/>
  <c r="J204" i="1" s="1"/>
  <c r="I204" i="1"/>
  <c r="C20" i="9" s="1"/>
  <c r="I107" i="1"/>
  <c r="H108" i="1"/>
  <c r="D21" i="9"/>
  <c r="H21" i="9" s="1"/>
  <c r="D21" i="3" s="1"/>
  <c r="G21" i="9"/>
  <c r="C21" i="3" s="1"/>
  <c r="C31" i="9"/>
  <c r="D31" i="9" s="1"/>
  <c r="H82" i="1"/>
  <c r="G17" i="9" l="1"/>
  <c r="C17" i="3" s="1"/>
  <c r="D17" i="9"/>
  <c r="H17" i="9" s="1"/>
  <c r="D17" i="3" s="1"/>
  <c r="D24" i="9"/>
  <c r="H24" i="9" s="1"/>
  <c r="D24" i="3" s="1"/>
  <c r="G24" i="9"/>
  <c r="C24" i="3" s="1"/>
  <c r="J107" i="1"/>
  <c r="J108" i="1" s="1"/>
  <c r="C505" i="1" s="1"/>
  <c r="I108" i="1"/>
  <c r="C32" i="9" s="1"/>
  <c r="C26" i="9"/>
  <c r="C30" i="3"/>
  <c r="D20" i="9"/>
  <c r="H20" i="9" s="1"/>
  <c r="D20" i="3" s="1"/>
  <c r="G20" i="9"/>
  <c r="C20" i="3" s="1"/>
  <c r="G85" i="1"/>
  <c r="H83" i="1"/>
  <c r="D30" i="3"/>
  <c r="D26" i="9" l="1"/>
  <c r="H26" i="9" s="1"/>
  <c r="D26" i="3" s="1"/>
  <c r="G26" i="9"/>
  <c r="C26" i="3" s="1"/>
  <c r="C18" i="9"/>
  <c r="C504" i="1"/>
  <c r="C31" i="3"/>
  <c r="D32" i="9"/>
  <c r="C47" i="9"/>
  <c r="C45" i="3" s="1"/>
  <c r="C78" i="3" l="1"/>
  <c r="C81" i="3" s="1"/>
  <c r="C82" i="3" s="1"/>
  <c r="C88" i="3" s="1"/>
  <c r="D31" i="3"/>
  <c r="C48" i="9"/>
  <c r="C46" i="3" s="1"/>
  <c r="G18" i="9"/>
  <c r="C18" i="3" s="1"/>
  <c r="D18" i="9"/>
  <c r="H18" i="9" s="1"/>
  <c r="D18" i="3" s="1"/>
</calcChain>
</file>

<file path=xl/sharedStrings.xml><?xml version="1.0" encoding="utf-8"?>
<sst xmlns="http://schemas.openxmlformats.org/spreadsheetml/2006/main" count="1781" uniqueCount="1081">
  <si>
    <t>Hoja de Trabajo I. - Introducción e instrucciones.</t>
  </si>
  <si>
    <t xml:space="preserve">Hoja de Trabajo II.  - Resumen de Cálculos - En esta hoja se encuentra un resumen de la reducción de emisiones finales que serán reportadas a la Reseva.  </t>
  </si>
  <si>
    <r>
      <t>Hoja de Trabajo III. - Datos de entrada para el Escenario de Línea Base - Esta hoja es para ingresar todos los datos para la línea base - (extraídos de los datos</t>
    </r>
    <r>
      <rPr>
        <i/>
        <sz val="10"/>
        <rFont val="Arial"/>
        <family val="2"/>
      </rPr>
      <t xml:space="preserve"> in situ</t>
    </r>
    <r>
      <rPr>
        <sz val="10"/>
        <rFont val="Arial"/>
        <family val="2"/>
      </rPr>
      <t xml:space="preserve"> y de tablas de consulta) necesarios para el cálculo de las emisiones de línea base. </t>
    </r>
  </si>
  <si>
    <r>
      <t>Hoja de Trabajo IV. - Datos de entrada para el Escenario del Proyecto - Esta hoja es para ingresar todos los datos del proyecto (extraídos de datos</t>
    </r>
    <r>
      <rPr>
        <i/>
        <sz val="10"/>
        <rFont val="Arial"/>
        <family val="2"/>
      </rPr>
      <t xml:space="preserve"> in situ </t>
    </r>
    <r>
      <rPr>
        <sz val="10"/>
        <rFont val="Arial"/>
        <family val="2"/>
      </rPr>
      <t>y tablas de consulta) necesarios para el cálculo de las emisiones del proyecto.</t>
    </r>
  </si>
  <si>
    <r>
      <t xml:space="preserve">Hoja de Trabajo V. - Emisiones de la Línea Base de Metano de los Sistemas de Almacenamiento/Tratamiento Anaeróbicos - Esta hoja se encuentra en su mayor parte automatizada, sin embargo </t>
    </r>
    <r>
      <rPr>
        <b/>
        <sz val="10"/>
        <color rgb="FFFF0000"/>
        <rFont val="Arial"/>
        <family val="2"/>
      </rPr>
      <t xml:space="preserve">el Usuario es responsable de la ingresar manuelmente los datos de entrada de los datos de cálculo de los años previos. </t>
    </r>
  </si>
  <si>
    <t>Hoja de Trabajo VI. - Emisiones de la Línea Base de Metano de los Sistemas de Almacenamiento/ Tratamiento No-Anaeróbicos - El Usuario no requiere ajustar o ingresar nuevos datos.</t>
  </si>
  <si>
    <t>Hoja de Trabajo VII. - Emisiones Totales de la Línea Base - Resumen del total de emisiones de línea base por categoría de ganado y sistema de almacenamiento/tratamiento. El Usuario no requiere ajustar o ingresar nuevos datos.</t>
  </si>
  <si>
    <t>Hoja de Trabajo VIII. - Emisiones de Metano del Proyecto del Sistema de Control de Biogás  - Automatizada, el Usuario no requiere ajustar o ingresar nuevos datos.</t>
  </si>
  <si>
    <t>Hoja deTrabajo IX -Emisión de Metano por un Evento de Ventilación. Automatizada, el Usuario no requiere ajustar o ingresar nuevos datos.</t>
  </si>
  <si>
    <t>Hoja de Trabajo X - Emisiones de Metano del Proyecto del Estanque Efluente del SCB - Automated, no user input/adjustment required. Automatizada, el Usuario no requiere ajustar o ingresar nuevos datos.</t>
  </si>
  <si>
    <t>Hoja deTrabajo XI - Emisiones de Metano del Proyecto de Fuentes Relacionadas con Sistemas de Control que no sean de Control de Biogás. Automatizada, el Usuario no requiere ajustar o ingresar nuevos datos.</t>
  </si>
  <si>
    <t>Hoja de Trabajo XII. - Total de Emisiones de Metano del Proyecto - Resumen del total de emisiones de metano del proyecto.  Automatizada, el Usuario no requiere ajustar o ingresar nuevos datos.</t>
  </si>
  <si>
    <t>Hoja de Trabajo XIII. - Cálculos de Emisiones de Dioxido de Carbono  - Automated, no user input/adjustment required. Automatizada, el Usuario no requiere ajustar o ingresar nuevos datos.</t>
  </si>
  <si>
    <t>Descripción de datos de entrada:</t>
  </si>
  <si>
    <t>A continuación encontrará una descripción de los insumos requeridos mensuales (todos los demás insumos son sobre una base anual):</t>
  </si>
  <si>
    <t>Sobre una base mensual, los desarrolladores del proyecto tiene que introducir en esta herramienta de cálculo las siguientes variables:</t>
  </si>
  <si>
    <t>1)  Average monthly site temperature -- Worksheet III, Section III.B. (Note: User is required to input the average monthly temperature of the last four months of the previous year.)</t>
  </si>
  <si>
    <t>1) Actualizar la población por tipo de ganado -- Hoja de Cálculo III, Sección III.D</t>
  </si>
  <si>
    <t>2) Actualizar la cantidad medida de metano capturado y quemado por el sistema de recolección de biogás -- Hoja de Trabajo IV, Sección A.</t>
  </si>
  <si>
    <t>Otras variables y parámetros se ingresan dentro de esta herramienta de cálculo sólo una vez al año, y algunos sólo una vez al inicio del proyecto.</t>
  </si>
  <si>
    <t>Este libro de trabajo calcula automáticamente las emisiones de metano utilizando los datos mensuales ingresados por los desarrolladores de proyectos y los valores tomados del protocolo.</t>
  </si>
  <si>
    <t>Para mayor conveniencia de uso, las celdas dentro de las hojas de trabajo son definidas de tal manera que:</t>
  </si>
  <si>
    <t>Leyenda:</t>
  </si>
  <si>
    <t>Verde</t>
  </si>
  <si>
    <t>Azul</t>
  </si>
  <si>
    <t>Cálculos automáticos</t>
  </si>
  <si>
    <r>
      <t>Total BE</t>
    </r>
    <r>
      <rPr>
        <b/>
        <vertAlign val="subscript"/>
        <sz val="10"/>
        <rFont val="Arial"/>
        <family val="2"/>
      </rPr>
      <t>CH4,L,y</t>
    </r>
    <r>
      <rPr>
        <b/>
        <sz val="10"/>
        <rFont val="Arial"/>
        <family val="2"/>
      </rPr>
      <t xml:space="preserve"> (MT)</t>
    </r>
  </si>
  <si>
    <r>
      <t>Total BE</t>
    </r>
    <r>
      <rPr>
        <b/>
        <vertAlign val="subscript"/>
        <sz val="10"/>
        <rFont val="Arial"/>
        <family val="2"/>
      </rPr>
      <t xml:space="preserve">CH4,L,y </t>
    </r>
    <r>
      <rPr>
        <b/>
        <sz val="10"/>
        <rFont val="Arial"/>
        <family val="2"/>
      </rPr>
      <t>(CO2e)</t>
    </r>
  </si>
  <si>
    <r>
      <t>Total BE</t>
    </r>
    <r>
      <rPr>
        <b/>
        <vertAlign val="subscript"/>
        <sz val="10"/>
        <rFont val="Arial"/>
        <family val="2"/>
      </rPr>
      <t xml:space="preserve">CH4,S,y </t>
    </r>
    <r>
      <rPr>
        <b/>
        <sz val="10"/>
        <rFont val="Arial"/>
        <family val="2"/>
      </rPr>
      <t>(MT)</t>
    </r>
  </si>
  <si>
    <r>
      <t>Total BE</t>
    </r>
    <r>
      <rPr>
        <b/>
        <vertAlign val="subscript"/>
        <sz val="10"/>
        <rFont val="Arial"/>
        <family val="2"/>
      </rPr>
      <t xml:space="preserve">CH4,S,y </t>
    </r>
    <r>
      <rPr>
        <b/>
        <sz val="10"/>
        <rFont val="Arial"/>
        <family val="2"/>
      </rPr>
      <t>(CO2e)</t>
    </r>
  </si>
  <si>
    <r>
      <t>BE</t>
    </r>
    <r>
      <rPr>
        <b/>
        <vertAlign val="subscript"/>
        <sz val="10"/>
        <rFont val="Arial"/>
        <family val="2"/>
      </rPr>
      <t xml:space="preserve">CH4 </t>
    </r>
    <r>
      <rPr>
        <b/>
        <sz val="10"/>
        <rFont val="Arial"/>
        <family val="2"/>
      </rPr>
      <t>(MT) =</t>
    </r>
  </si>
  <si>
    <r>
      <t xml:space="preserve"> ton CH</t>
    </r>
    <r>
      <rPr>
        <b/>
        <vertAlign val="subscript"/>
        <sz val="10"/>
        <rFont val="Arial"/>
        <family val="2"/>
      </rPr>
      <t>4</t>
    </r>
    <r>
      <rPr>
        <b/>
        <sz val="10"/>
        <rFont val="Arial"/>
        <family val="2"/>
      </rPr>
      <t xml:space="preserve"> año</t>
    </r>
    <r>
      <rPr>
        <b/>
        <vertAlign val="superscript"/>
        <sz val="10"/>
        <rFont val="Arial"/>
        <family val="2"/>
      </rPr>
      <t>-1</t>
    </r>
  </si>
  <si>
    <r>
      <t>BE</t>
    </r>
    <r>
      <rPr>
        <b/>
        <vertAlign val="subscript"/>
        <sz val="10"/>
        <rFont val="Arial"/>
        <family val="2"/>
      </rPr>
      <t xml:space="preserve">CH4 </t>
    </r>
    <r>
      <rPr>
        <b/>
        <sz val="10"/>
        <rFont val="Arial"/>
        <family val="2"/>
      </rPr>
      <t>(CO</t>
    </r>
    <r>
      <rPr>
        <b/>
        <vertAlign val="subscript"/>
        <sz val="10"/>
        <rFont val="Arial"/>
        <family val="2"/>
      </rPr>
      <t>2</t>
    </r>
    <r>
      <rPr>
        <b/>
        <sz val="10"/>
        <rFont val="Arial"/>
        <family val="2"/>
      </rPr>
      <t xml:space="preserve">e) = </t>
    </r>
  </si>
  <si>
    <r>
      <t xml:space="preserve"> ton CO</t>
    </r>
    <r>
      <rPr>
        <b/>
        <vertAlign val="subscript"/>
        <sz val="10"/>
        <rFont val="Arial"/>
        <family val="2"/>
      </rPr>
      <t>2</t>
    </r>
    <r>
      <rPr>
        <b/>
        <sz val="10"/>
        <rFont val="Arial"/>
        <family val="2"/>
      </rPr>
      <t>e año</t>
    </r>
    <r>
      <rPr>
        <b/>
        <vertAlign val="superscript"/>
        <sz val="10"/>
        <rFont val="Arial"/>
        <family val="2"/>
      </rPr>
      <t>-1</t>
    </r>
  </si>
  <si>
    <r>
      <t xml:space="preserve"> ton CO</t>
    </r>
    <r>
      <rPr>
        <b/>
        <vertAlign val="subscript"/>
        <sz val="10"/>
        <rFont val="Arial"/>
        <family val="2"/>
      </rPr>
      <t>2</t>
    </r>
    <r>
      <rPr>
        <b/>
        <sz val="10"/>
        <rFont val="Arial"/>
        <family val="2"/>
      </rPr>
      <t xml:space="preserve"> año</t>
    </r>
    <r>
      <rPr>
        <b/>
        <vertAlign val="superscript"/>
        <sz val="10"/>
        <rFont val="Arial"/>
        <family val="2"/>
      </rPr>
      <t>-1</t>
    </r>
  </si>
  <si>
    <r>
      <t>CH</t>
    </r>
    <r>
      <rPr>
        <b/>
        <vertAlign val="subscript"/>
        <sz val="10"/>
        <rFont val="Arial"/>
        <family val="2"/>
      </rPr>
      <t>4</t>
    </r>
    <r>
      <rPr>
        <b/>
        <sz val="10"/>
        <rFont val="Arial"/>
        <family val="2"/>
      </rPr>
      <t xml:space="preserve">(SCB) (MT) = </t>
    </r>
  </si>
  <si>
    <r>
      <t>CH</t>
    </r>
    <r>
      <rPr>
        <b/>
        <vertAlign val="subscript"/>
        <sz val="10"/>
        <rFont val="Arial"/>
        <family val="2"/>
      </rPr>
      <t>4</t>
    </r>
    <r>
      <rPr>
        <b/>
        <sz val="10"/>
        <rFont val="Arial"/>
        <family val="2"/>
      </rPr>
      <t>(SCB) (CO</t>
    </r>
    <r>
      <rPr>
        <b/>
        <vertAlign val="subscript"/>
        <sz val="10"/>
        <rFont val="Arial"/>
        <family val="2"/>
      </rPr>
      <t>2</t>
    </r>
    <r>
      <rPr>
        <b/>
        <sz val="10"/>
        <rFont val="Arial"/>
        <family val="2"/>
      </rPr>
      <t>e)</t>
    </r>
  </si>
  <si>
    <r>
      <t>CH</t>
    </r>
    <r>
      <rPr>
        <b/>
        <vertAlign val="subscript"/>
        <sz val="10"/>
        <rFont val="Arial"/>
        <family val="2"/>
      </rPr>
      <t>4,vent,i</t>
    </r>
    <r>
      <rPr>
        <b/>
        <sz val="10"/>
        <rFont val="Arial"/>
        <family val="2"/>
      </rPr>
      <t xml:space="preserve"> (MT)</t>
    </r>
  </si>
  <si>
    <r>
      <t>CH</t>
    </r>
    <r>
      <rPr>
        <b/>
        <vertAlign val="subscript"/>
        <sz val="10"/>
        <rFont val="Arial"/>
        <family val="2"/>
      </rPr>
      <t>4,vent,i</t>
    </r>
    <r>
      <rPr>
        <b/>
        <sz val="10"/>
        <rFont val="Arial"/>
        <family val="2"/>
      </rPr>
      <t xml:space="preserve"> (CO</t>
    </r>
    <r>
      <rPr>
        <b/>
        <vertAlign val="subscript"/>
        <sz val="10"/>
        <rFont val="Arial"/>
        <family val="2"/>
      </rPr>
      <t>2</t>
    </r>
    <r>
      <rPr>
        <b/>
        <sz val="10"/>
        <rFont val="Arial"/>
        <family val="2"/>
      </rPr>
      <t>e)</t>
    </r>
  </si>
  <si>
    <r>
      <t>CH</t>
    </r>
    <r>
      <rPr>
        <b/>
        <vertAlign val="subscript"/>
        <sz val="10"/>
        <rFont val="Arial"/>
        <family val="2"/>
      </rPr>
      <t>4</t>
    </r>
    <r>
      <rPr>
        <b/>
        <sz val="10"/>
        <rFont val="Arial"/>
        <family val="2"/>
      </rPr>
      <t>(EP) (MT) =</t>
    </r>
  </si>
  <si>
    <r>
      <t>CH</t>
    </r>
    <r>
      <rPr>
        <b/>
        <vertAlign val="subscript"/>
        <sz val="10"/>
        <rFont val="Arial"/>
        <family val="2"/>
      </rPr>
      <t>4</t>
    </r>
    <r>
      <rPr>
        <b/>
        <sz val="10"/>
        <rFont val="Arial"/>
        <family val="2"/>
      </rPr>
      <t>(EP) (CO</t>
    </r>
    <r>
      <rPr>
        <b/>
        <vertAlign val="subscript"/>
        <sz val="10"/>
        <rFont val="Arial"/>
        <family val="2"/>
      </rPr>
      <t>2</t>
    </r>
    <r>
      <rPr>
        <b/>
        <sz val="10"/>
        <rFont val="Arial"/>
        <family val="2"/>
      </rPr>
      <t>e)</t>
    </r>
  </si>
  <si>
    <r>
      <t>CH</t>
    </r>
    <r>
      <rPr>
        <b/>
        <vertAlign val="subscript"/>
        <sz val="10"/>
        <rFont val="Arial"/>
        <family val="2"/>
      </rPr>
      <t>4</t>
    </r>
    <r>
      <rPr>
        <b/>
        <sz val="10"/>
        <rFont val="Arial"/>
        <family val="2"/>
      </rPr>
      <t xml:space="preserve">(nonBCS sources) (MT) = </t>
    </r>
  </si>
  <si>
    <r>
      <t>CH</t>
    </r>
    <r>
      <rPr>
        <b/>
        <vertAlign val="subscript"/>
        <sz val="10"/>
        <rFont val="Arial"/>
        <family val="2"/>
      </rPr>
      <t>4</t>
    </r>
    <r>
      <rPr>
        <b/>
        <sz val="10"/>
        <rFont val="Arial"/>
        <family val="2"/>
      </rPr>
      <t>(nonBCS sources) (CO</t>
    </r>
    <r>
      <rPr>
        <b/>
        <vertAlign val="subscript"/>
        <sz val="10"/>
        <rFont val="Arial"/>
        <family val="2"/>
      </rPr>
      <t>2</t>
    </r>
    <r>
      <rPr>
        <b/>
        <sz val="10"/>
        <rFont val="Arial"/>
        <family val="2"/>
      </rPr>
      <t>e)</t>
    </r>
  </si>
  <si>
    <r>
      <t>PE</t>
    </r>
    <r>
      <rPr>
        <b/>
        <vertAlign val="subscript"/>
        <sz val="10"/>
        <rFont val="Arial"/>
        <family val="2"/>
      </rPr>
      <t xml:space="preserve">CH4 </t>
    </r>
    <r>
      <rPr>
        <b/>
        <sz val="10"/>
        <rFont val="Arial"/>
        <family val="2"/>
      </rPr>
      <t>(MT)</t>
    </r>
  </si>
  <si>
    <r>
      <t>PE</t>
    </r>
    <r>
      <rPr>
        <b/>
        <vertAlign val="subscript"/>
        <sz val="10"/>
        <rFont val="Arial"/>
        <family val="2"/>
      </rPr>
      <t>CH4</t>
    </r>
    <r>
      <rPr>
        <b/>
        <sz val="10"/>
        <rFont val="Arial"/>
        <family val="2"/>
      </rPr>
      <t>(CO</t>
    </r>
    <r>
      <rPr>
        <b/>
        <vertAlign val="subscript"/>
        <sz val="10"/>
        <rFont val="Arial"/>
        <family val="2"/>
      </rPr>
      <t>2</t>
    </r>
    <r>
      <rPr>
        <b/>
        <sz val="10"/>
        <rFont val="Arial"/>
        <family val="2"/>
      </rPr>
      <t xml:space="preserve">e) = </t>
    </r>
  </si>
  <si>
    <r>
      <t>(BE</t>
    </r>
    <r>
      <rPr>
        <b/>
        <vertAlign val="subscript"/>
        <sz val="10"/>
        <rFont val="Arial"/>
        <family val="2"/>
      </rPr>
      <t xml:space="preserve">CH4 </t>
    </r>
    <r>
      <rPr>
        <b/>
        <sz val="10"/>
        <rFont val="Arial"/>
        <family val="2"/>
      </rPr>
      <t>(MT) - PE</t>
    </r>
    <r>
      <rPr>
        <b/>
        <vertAlign val="subscript"/>
        <sz val="10"/>
        <rFont val="Arial"/>
        <family val="2"/>
      </rPr>
      <t>CH4</t>
    </r>
    <r>
      <rPr>
        <b/>
        <sz val="10"/>
        <rFont val="Arial"/>
        <family val="2"/>
      </rPr>
      <t xml:space="preserve"> (MT)) = </t>
    </r>
  </si>
  <si>
    <r>
      <t xml:space="preserve">  ton CH</t>
    </r>
    <r>
      <rPr>
        <b/>
        <vertAlign val="subscript"/>
        <sz val="10"/>
        <rFont val="Arial"/>
        <family val="2"/>
      </rPr>
      <t>4</t>
    </r>
    <r>
      <rPr>
        <b/>
        <sz val="10"/>
        <rFont val="Arial"/>
        <family val="2"/>
      </rPr>
      <t xml:space="preserve"> año</t>
    </r>
    <r>
      <rPr>
        <b/>
        <vertAlign val="superscript"/>
        <sz val="10"/>
        <rFont val="Arial"/>
        <family val="2"/>
      </rPr>
      <t>-1</t>
    </r>
  </si>
  <si>
    <r>
      <t>CH</t>
    </r>
    <r>
      <rPr>
        <b/>
        <vertAlign val="subscript"/>
        <sz val="10"/>
        <rFont val="Arial"/>
        <family val="2"/>
      </rPr>
      <t xml:space="preserve">4,destroyed </t>
    </r>
    <r>
      <rPr>
        <b/>
        <sz val="10"/>
        <rFont val="Arial"/>
        <family val="2"/>
      </rPr>
      <t xml:space="preserve">(MT) = </t>
    </r>
  </si>
  <si>
    <t>Hoja de Cálculo III:  Entrada de Datos para Emisiones de Línea Base</t>
  </si>
  <si>
    <t>Amarillo pálido</t>
  </si>
  <si>
    <t xml:space="preserve">Notas/comentarios del Usuario </t>
  </si>
  <si>
    <t>Ingrese la información específica del sitio en el campo amarillo de abajo.</t>
  </si>
  <si>
    <t>Nota para el Usuario:</t>
  </si>
  <si>
    <t>Sobre una base mensual, los desarrolladores del proyecto sólo tiene que introducir as siguientes variables en esta herramienta de cálculo:</t>
  </si>
  <si>
    <t>1) Actualización de la temperatura media mensual - Hoja de Trabajo III, Sección III.B.</t>
  </si>
  <si>
    <t>2) Actualización de la población de ganado (y masa) - Hoja de Trabajo III, Sección III.D</t>
  </si>
  <si>
    <t>3) Actualizar el metano capturado y quemado por el BCS - Hoja de Trabajo IV, Sección IV.A.</t>
  </si>
  <si>
    <t>Otras variables / parámetros son ingresadas a esta herramienta de cálculo sólo una vez al año, y algunos sólo una vez al inicio del proyecto.</t>
  </si>
  <si>
    <t>Mes</t>
  </si>
  <si>
    <t>Categoría de Ganado (L)</t>
  </si>
  <si>
    <t>Notas/comentarios del Usuario:</t>
  </si>
  <si>
    <t>III.E. Sólidos Volátiles Diarios para todas las Categorías de Ganado de Tablas de consulta (Hoja de Trabajo XIV, Tabla XIV.C)</t>
  </si>
  <si>
    <t>Complete el campo correspondiente a los sólidos volátiles (VS) (columna C) para cada categoría de ganado dominante. Utilice los valores VS por defecto proporcionados en la hoja XIV, Tabla XIV.C. Los valores de VS de la columna C se convierten automáticamente a partir de unidades de (kg/day/100kg) a (kg / día / animal) en la columna D.</t>
  </si>
  <si>
    <r>
      <t>VS</t>
    </r>
    <r>
      <rPr>
        <b/>
        <vertAlign val="subscript"/>
        <sz val="10"/>
        <rFont val="Arial"/>
        <family val="2"/>
      </rPr>
      <t xml:space="preserve">table
</t>
    </r>
    <r>
      <rPr>
        <b/>
        <sz val="10"/>
        <rFont val="Arial"/>
        <family val="2"/>
      </rPr>
      <t>(kg/animal/día)</t>
    </r>
  </si>
  <si>
    <r>
      <t>VS</t>
    </r>
    <r>
      <rPr>
        <b/>
        <vertAlign val="subscript"/>
        <sz val="10"/>
        <rFont val="Arial"/>
        <family val="2"/>
      </rPr>
      <t xml:space="preserve">L
</t>
    </r>
    <r>
      <rPr>
        <b/>
        <sz val="10"/>
        <rFont val="Arial"/>
        <family val="2"/>
      </rPr>
      <t>(kg/animal/día)</t>
    </r>
  </si>
  <si>
    <t xml:space="preserve">III.F.  Potencial Máximo de Metano por Categoría de Ganado </t>
  </si>
  <si>
    <t>Los valores por defecto de la capacidad máxima de producción de metano (Bo) para cada categoría de ganado son obtenidos automáticamente de la Hoja XIV, Tabla XIV.C.</t>
  </si>
  <si>
    <r>
      <t>B</t>
    </r>
    <r>
      <rPr>
        <b/>
        <vertAlign val="subscript"/>
        <sz val="10"/>
        <rFont val="Arial"/>
        <family val="2"/>
      </rPr>
      <t xml:space="preserve">o,L
</t>
    </r>
    <r>
      <rPr>
        <b/>
        <sz val="10"/>
        <rFont val="Arial"/>
        <family val="2"/>
      </rP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 materia seca)</t>
    </r>
  </si>
  <si>
    <t>III.G. Sistemas de Almacenamiento / Tratamiento  de Estiércol y de Componentes para el Cálculo de la Línea Base. ¿Qué sistemas estaban en su lugar anterior al Proyecto?</t>
  </si>
  <si>
    <r>
      <t xml:space="preserve">Introduzca los componentes de almacenamiento </t>
    </r>
    <r>
      <rPr>
        <i/>
        <sz val="10"/>
        <rFont val="Arial"/>
        <family val="2"/>
      </rPr>
      <t>in situ</t>
    </r>
    <r>
      <rPr>
        <sz val="10"/>
        <rFont val="Arial"/>
        <family val="2"/>
      </rPr>
      <t xml:space="preserve"> en los campos amarillos. Consulte la Hoja de Trabajo XIV, Cuadro XIV.A para las descripciones de los compoentnes del sistema de almacenamiento / tratamiento. Los componentes de almacenamiento / tratamiento de categorías que no son aplicables deben dejarse en blanco. Si la separación de sólidos se realizó antes del ingreso a la laguna, entonces el sistema de almacenamiento / tratamiento de los sólidos retirados también debe ser seleccionado.</t>
    </r>
  </si>
  <si>
    <t>Lista de los sistemas de manejo de excretas para almacenamiento/tratamiento</t>
  </si>
  <si>
    <t>III.H. ¿Con qué frecuencia son los lodos vaciados y limpiados del sistema anaeróbico de almacenamiento / tratamiento en el Escenario Base (por año), y por lo general ¿En qué mes(es)?</t>
  </si>
  <si>
    <t xml:space="preserve">Los datos de la Columna G de la Hoja de Trabajo V serán automáticamente reducidos según los meses en los que el sistema anaeróbico es completamente drenado y la acumulación de lodos ha sido removida. </t>
  </si>
  <si>
    <t>Sí</t>
  </si>
  <si>
    <t>No</t>
  </si>
  <si>
    <t xml:space="preserve">III.I.  Factor de Conversión de Metano (MCF) para "Otros sistemas de Almacenamiento/Tratamiento" </t>
  </si>
  <si>
    <t>Introduzca el valor de MCF para la laguna y los componentes de almacenamiento del sistema de estanques en los campos naranjas. Consulte la Hoja de Trabajo XIV, el cuadro XIV.D, para obtener  los factores de conversión por defecto de metano y los componentes del sistema de manejo de excreta y la temperatura promedio de los componentes de almacenamiento.  Las categorías que no son aplicables deben dejarse en blanco.</t>
  </si>
  <si>
    <t>MCF (fracción)</t>
  </si>
  <si>
    <r>
      <t>III.J.  Fracción de estiércol de Categoría de Ganado L que se almacena / es tratada en el sistema S (MS</t>
    </r>
    <r>
      <rPr>
        <b/>
        <vertAlign val="subscript"/>
        <sz val="12"/>
        <rFont val="Arial"/>
        <family val="2"/>
      </rPr>
      <t>I, s</t>
    </r>
    <r>
      <rPr>
        <b/>
        <sz val="12"/>
        <rFont val="Arial"/>
        <family val="2"/>
      </rPr>
      <t>) para el cálculo de la Línea Base. ¿Dónde se dirigía el estiércol previo al proyecto?</t>
    </r>
  </si>
  <si>
    <t>Si la separación de sólidos ocurrió antes de la colocación de estiércol en la laguna de línea base, entonces la fracción de VS que se separó a través del separador o estanques de sedimentación debe ser estimada y restada de la fracción estiércol total enviada a la laguna de línea base. Se debe asumir que la fracción de VS que fue removida se dirige a su propio tratamiento/sistema de almacenamiento.</t>
  </si>
  <si>
    <t xml:space="preserve">III.K. IV.G. Datos de Entrada de las Emisiones de Línea Base de Bióxido de Carbono [Protocolo - Ecuación 5.11]  </t>
  </si>
  <si>
    <t>XV. Nota para el Usuario: Las fórmulas de cálculo y las descripciones se proporcionan en la hoja de XV.</t>
  </si>
  <si>
    <r>
      <t>III.K.i. Datos de Entrada de las Emisiones de Línea Base de Bióxido de Carbono de fuentes de Combustión Móvil: CO</t>
    </r>
    <r>
      <rPr>
        <b/>
        <vertAlign val="subscript"/>
        <sz val="10"/>
        <rFont val="Arial"/>
        <family val="2"/>
      </rPr>
      <t>2</t>
    </r>
    <r>
      <rPr>
        <b/>
        <sz val="10"/>
        <rFont val="Arial"/>
        <family val="2"/>
      </rPr>
      <t xml:space="preserve">, MSC de la Línea Base  </t>
    </r>
  </si>
  <si>
    <r>
      <t>Introduzca la fuente, tipo de combustible, la cantidad anual de combustible (QF), y factores de emisión específicos (EF</t>
    </r>
    <r>
      <rPr>
        <vertAlign val="subscript"/>
        <sz val="10"/>
        <rFont val="Arial"/>
        <family val="2"/>
      </rPr>
      <t>C02</t>
    </r>
    <r>
      <rPr>
        <sz val="10"/>
        <rFont val="Arial"/>
        <family val="2"/>
      </rPr>
      <t>) para todas las fuentes de combustión móviles de línea base en sitio. Consulte la Hoja de Trabajo XIV cuadro de los XIV.E para los valores por defecto EF</t>
    </r>
    <r>
      <rPr>
        <vertAlign val="subscript"/>
        <sz val="10"/>
        <rFont val="Arial"/>
        <family val="2"/>
      </rPr>
      <t xml:space="preserve">C02 </t>
    </r>
    <r>
      <rPr>
        <sz val="10"/>
        <rFont val="Arial"/>
        <family val="2"/>
      </rPr>
      <t>de las fuentes móviles.</t>
    </r>
  </si>
  <si>
    <t>Fuente Móvil</t>
  </si>
  <si>
    <r>
      <t>QF</t>
    </r>
    <r>
      <rPr>
        <b/>
        <vertAlign val="subscript"/>
        <sz val="10"/>
        <rFont val="Arial"/>
        <family val="2"/>
      </rPr>
      <t xml:space="preserve">c </t>
    </r>
    <r>
      <rPr>
        <b/>
        <sz val="10"/>
        <rFont val="Arial"/>
        <family val="2"/>
      </rPr>
      <t>(litros/año)</t>
    </r>
  </si>
  <si>
    <r>
      <t>QF</t>
    </r>
    <r>
      <rPr>
        <b/>
        <vertAlign val="subscript"/>
        <sz val="10"/>
        <rFont val="Arial"/>
        <family val="2"/>
      </rPr>
      <t xml:space="preserve">c </t>
    </r>
    <r>
      <rPr>
        <b/>
        <sz val="10"/>
        <rFont val="Arial"/>
        <family val="2"/>
      </rPr>
      <t>(GJ/litro)</t>
    </r>
  </si>
  <si>
    <r>
      <t>EF</t>
    </r>
    <r>
      <rPr>
        <b/>
        <vertAlign val="subscript"/>
        <sz val="10"/>
        <rFont val="Arial"/>
        <family val="2"/>
      </rPr>
      <t>CO2,f</t>
    </r>
    <r>
      <rPr>
        <b/>
        <sz val="10"/>
        <rFont val="Arial"/>
        <family val="2"/>
      </rPr>
      <t xml:space="preserve"> (kgCO2/GJ)</t>
    </r>
  </si>
  <si>
    <r>
      <t>QF</t>
    </r>
    <r>
      <rPr>
        <b/>
        <vertAlign val="subscript"/>
        <sz val="10"/>
        <rFont val="Arial"/>
        <family val="2"/>
      </rPr>
      <t xml:space="preserve">c </t>
    </r>
    <r>
      <rPr>
        <b/>
        <sz val="10"/>
        <rFont val="Arial"/>
        <family val="2"/>
      </rPr>
      <t>(GJ/año)</t>
    </r>
  </si>
  <si>
    <r>
      <t>EF</t>
    </r>
    <r>
      <rPr>
        <b/>
        <vertAlign val="subscript"/>
        <sz val="10"/>
        <rFont val="Arial"/>
        <family val="2"/>
      </rPr>
      <t xml:space="preserve">CO2,f </t>
    </r>
    <r>
      <rPr>
        <b/>
        <sz val="10"/>
        <rFont val="Arial"/>
        <family val="2"/>
      </rPr>
      <t>(kgCO</t>
    </r>
    <r>
      <rPr>
        <b/>
        <vertAlign val="subscript"/>
        <sz val="10"/>
        <rFont val="Arial"/>
        <family val="2"/>
      </rPr>
      <t>2</t>
    </r>
    <r>
      <rPr>
        <b/>
        <sz val="10"/>
        <rFont val="Arial"/>
        <family val="2"/>
      </rPr>
      <t>/GJ)</t>
    </r>
  </si>
  <si>
    <r>
      <t xml:space="preserve">III.K.ii. </t>
    </r>
    <r>
      <rPr>
        <b/>
        <vertAlign val="subscript"/>
        <sz val="10"/>
        <rFont val="Arial"/>
        <family val="2"/>
      </rPr>
      <t xml:space="preserve"> </t>
    </r>
    <r>
      <rPr>
        <b/>
        <sz val="10"/>
        <rFont val="Arial"/>
        <family val="2"/>
      </rPr>
      <t>Datos de entrada de Emisiones de la Línea Base de Bióxido de Carbono para Fuentes de Combustión Estacionaria: CO2, el MSC</t>
    </r>
  </si>
  <si>
    <r>
      <t>Introduzca la fuente, tipo de combustible, la cantidad anual de combustible (QF), y factores de emisión específicos (EF</t>
    </r>
    <r>
      <rPr>
        <vertAlign val="subscript"/>
        <sz val="10"/>
        <rFont val="Arial"/>
        <family val="2"/>
      </rPr>
      <t>C02</t>
    </r>
    <r>
      <rPr>
        <sz val="10"/>
        <rFont val="Arial"/>
        <family val="2"/>
      </rPr>
      <t>) para todas las fuentes de combustión estacionarias de línea base en sitio. Consulte la Hoja de Trabajo XIV Tabla XIV.E para los valores por defecto EF</t>
    </r>
    <r>
      <rPr>
        <vertAlign val="subscript"/>
        <sz val="10"/>
        <rFont val="Arial"/>
        <family val="2"/>
      </rPr>
      <t>C02</t>
    </r>
    <r>
      <rPr>
        <sz val="10"/>
        <rFont val="Arial"/>
        <family val="2"/>
      </rPr>
      <t xml:space="preserve"> de las fuentes estacionarias.</t>
    </r>
  </si>
  <si>
    <r>
      <t>QF</t>
    </r>
    <r>
      <rPr>
        <b/>
        <vertAlign val="subscript"/>
        <sz val="10"/>
        <rFont val="Arial"/>
        <family val="2"/>
      </rPr>
      <t xml:space="preserve">c </t>
    </r>
    <r>
      <rPr>
        <b/>
        <sz val="10"/>
        <rFont val="Arial"/>
        <family val="2"/>
      </rPr>
      <t>(m</t>
    </r>
    <r>
      <rPr>
        <b/>
        <vertAlign val="superscript"/>
        <sz val="10"/>
        <rFont val="Arial"/>
        <family val="2"/>
      </rPr>
      <t>3</t>
    </r>
    <r>
      <rPr>
        <b/>
        <sz val="10"/>
        <rFont val="Arial"/>
        <family val="2"/>
      </rPr>
      <t>/año)</t>
    </r>
  </si>
  <si>
    <r>
      <t>QF</t>
    </r>
    <r>
      <rPr>
        <b/>
        <vertAlign val="subscript"/>
        <sz val="10"/>
        <rFont val="Arial"/>
        <family val="2"/>
      </rPr>
      <t xml:space="preserve">c </t>
    </r>
    <r>
      <rPr>
        <b/>
        <sz val="10"/>
        <rFont val="Arial"/>
        <family val="2"/>
      </rPr>
      <t>(GJ/m</t>
    </r>
    <r>
      <rPr>
        <b/>
        <vertAlign val="superscript"/>
        <sz val="10"/>
        <rFont val="Arial"/>
        <family val="2"/>
      </rPr>
      <t>3</t>
    </r>
    <r>
      <rPr>
        <b/>
        <sz val="10"/>
        <rFont val="Arial"/>
        <family val="2"/>
      </rPr>
      <t>)</t>
    </r>
  </si>
  <si>
    <t>III.K.iii. Datos de Entrada de las Emisiones de Línea Base de Bióxido de Carbono por Consumo de Electricidad: CO2, MSC</t>
  </si>
  <si>
    <t xml:space="preserve">Introduzca la cantidad de electricidad que se consume en el escenario base sólo para fuentes directamente afectadas por la actividad del proyecto. Introduzca 0 si no hay fuentes relevantes de consumo de electricidad. </t>
  </si>
  <si>
    <t>Red eléctrica</t>
  </si>
  <si>
    <r>
      <t>QE</t>
    </r>
    <r>
      <rPr>
        <b/>
        <vertAlign val="subscript"/>
        <sz val="10"/>
        <rFont val="Arial"/>
        <family val="2"/>
      </rPr>
      <t>c</t>
    </r>
    <r>
      <rPr>
        <b/>
        <sz val="10"/>
        <rFont val="Arial"/>
        <family val="2"/>
      </rPr>
      <t xml:space="preserve"> (MWh/año)</t>
    </r>
  </si>
  <si>
    <r>
      <t>EF</t>
    </r>
    <r>
      <rPr>
        <b/>
        <vertAlign val="subscript"/>
        <sz val="10"/>
        <rFont val="Arial"/>
        <family val="2"/>
      </rPr>
      <t>CO2,e</t>
    </r>
    <r>
      <rPr>
        <b/>
        <vertAlign val="superscript"/>
        <sz val="10"/>
        <rFont val="Arial"/>
        <family val="2"/>
      </rPr>
      <t>1</t>
    </r>
    <r>
      <rPr>
        <b/>
        <sz val="10"/>
        <rFont val="Arial"/>
        <family val="2"/>
      </rPr>
      <t xml:space="preserve"> (kgCO</t>
    </r>
    <r>
      <rPr>
        <b/>
        <vertAlign val="subscript"/>
        <sz val="10"/>
        <rFont val="Arial"/>
        <family val="2"/>
      </rPr>
      <t>2</t>
    </r>
    <r>
      <rPr>
        <b/>
        <sz val="10"/>
        <rFont val="Arial"/>
        <family val="2"/>
      </rPr>
      <t>e/MWh)</t>
    </r>
  </si>
  <si>
    <t>Sistema Eléctrico Nacional</t>
  </si>
  <si>
    <t xml:space="preserve">Hoja de Trabajo IV:  Entrada de Datos para Emisiones del Proyecto </t>
  </si>
  <si>
    <t xml:space="preserve">Notas/Comentarios del Usuario </t>
  </si>
  <si>
    <t>IV.A.  Entradas para el Sistema de Control del Biogás [Protocolo - Ecuación 5.6] Calculado en la Hoja de Cálculo VIII</t>
  </si>
  <si>
    <t xml:space="preserve"> Para asegurarse de que el control de datos del sistema de biogás es ingresado correctamente, complete cuidadosamente las siguientes secciones siguiendo las instrucciones.</t>
  </si>
  <si>
    <t xml:space="preserve">IV.A.i:  Eficiencia de recolección y destrucción de metano mensual del Sistema de Control de Biogás </t>
  </si>
  <si>
    <t xml:space="preserve"> </t>
  </si>
  <si>
    <r>
      <rPr>
        <b/>
        <sz val="10"/>
        <color rgb="FFFF0000"/>
        <rFont val="Arial"/>
        <family val="2"/>
      </rPr>
      <t>*</t>
    </r>
    <r>
      <rPr>
        <b/>
        <sz val="10"/>
        <color theme="1"/>
        <rFont val="Arial"/>
        <family val="2"/>
      </rPr>
      <t xml:space="preserve"> Orientación importante para determina la eficiencia de destrucción del metano (BDE) mensual:</t>
    </r>
    <r>
      <rPr>
        <sz val="10"/>
        <color theme="1"/>
        <rFont val="Arial"/>
        <family val="2"/>
      </rPr>
      <t xml:space="preserve"> El valor mensual de BDE debe ser la media promedio mensual de todos los dispositivos de destrucción utilizado en un mes (ver la Ecuación 5.6 como guía). Los desarrolladores de proyecto tienen las siguientes opciones: </t>
    </r>
    <r>
      <rPr>
        <b/>
        <sz val="10"/>
        <color theme="1"/>
        <rFont val="Arial"/>
        <family val="2"/>
      </rPr>
      <t>a)</t>
    </r>
    <r>
      <rPr>
        <sz val="10"/>
        <color theme="1"/>
        <rFont val="Arial"/>
        <family val="2"/>
      </rPr>
      <t xml:space="preserve"> utilizar las eficiencias de destrucción de metano predeterminadas proporcionadas en la Hoja de Trabajo XIV. Tabla XIV.F, o </t>
    </r>
    <r>
      <rPr>
        <b/>
        <sz val="10"/>
        <color theme="1"/>
        <rFont val="Arial"/>
        <family val="2"/>
      </rPr>
      <t>b)</t>
    </r>
    <r>
      <rPr>
        <sz val="10"/>
        <color theme="1"/>
        <rFont val="Arial"/>
        <family val="2"/>
      </rPr>
      <t xml:space="preserve"> las eficiencias de destrucción de metano específicas de sitio conforme a lo dispuesto por una agencia estatal o local acreditada proveedora de servicios de prueba de origen, para cada uno de los dispositivos de combustión utilizados en el proyecto. </t>
    </r>
    <r>
      <rPr>
        <b/>
        <sz val="10"/>
        <color rgb="FFFF0000"/>
        <rFont val="Arial"/>
        <family val="2"/>
      </rPr>
      <t>Si elige la opción "a" complete las columnas C, E,G e I de la siguiente tabla y automáticamente obtendrá la eficiencia en fracción de los dispositivos de destrucción particular en las celdas D, F, H y J.  Si elige la opción "b" ingrese directamente los valores de eficiencia de los dispositivos de destrucción particular en las celdas D, F, H y J.</t>
    </r>
    <r>
      <rPr>
        <sz val="10"/>
        <color theme="1"/>
        <rFont val="Arial"/>
        <family val="2"/>
      </rPr>
      <t xml:space="preserve"> Utilice la sección de comentarios para justificar su elección.</t>
    </r>
  </si>
  <si>
    <t>Dispositivo de Destrucción de Biogás</t>
  </si>
  <si>
    <t>Llama abierta</t>
  </si>
  <si>
    <t>Llama encerrada</t>
  </si>
  <si>
    <t>Quema magra motor de combustión interno</t>
  </si>
  <si>
    <t>Quema grande de motor de combustión interno</t>
  </si>
  <si>
    <t>Caldera</t>
  </si>
  <si>
    <t>Microturbina o gran turbina de gas</t>
  </si>
  <si>
    <r>
      <t>Actualización y uso de gas como combustible NG/LNG</t>
    </r>
    <r>
      <rPr>
        <sz val="10"/>
        <color indexed="8"/>
        <rFont val="Arial"/>
        <family val="2"/>
      </rPr>
      <t xml:space="preserve">
</t>
    </r>
  </si>
  <si>
    <t>Actualización e inyección en el gasoducto de gas natural</t>
  </si>
  <si>
    <r>
      <t>Para determinar el BDE mensual introduzca los datos de flujo volumétrico de biogás medido total Fi y de los dispositivos de destrucción particulares Fi</t>
    </r>
    <r>
      <rPr>
        <vertAlign val="subscript"/>
        <sz val="10"/>
        <rFont val="Arial"/>
        <family val="2"/>
      </rPr>
      <t xml:space="preserve">DD </t>
    </r>
    <r>
      <rPr>
        <sz val="10"/>
        <rFont val="Arial"/>
        <family val="2"/>
      </rPr>
      <t>utilizados en m</t>
    </r>
    <r>
      <rPr>
        <vertAlign val="superscript"/>
        <sz val="10"/>
        <rFont val="Arial"/>
        <family val="2"/>
      </rPr>
      <t>3</t>
    </r>
    <r>
      <rPr>
        <sz val="10"/>
        <rFont val="Arial"/>
        <family val="2"/>
      </rPr>
      <t>.</t>
    </r>
  </si>
  <si>
    <r>
      <t>Para Fi total, introduzca el flujo total de todos los dispositivos mientras estan prendido y</t>
    </r>
    <r>
      <rPr>
        <b/>
        <sz val="10"/>
        <color rgb="FFFF0000"/>
        <rFont val="Arial"/>
        <family val="2"/>
      </rPr>
      <t xml:space="preserve"> tambien mientras no estan prendidos</t>
    </r>
    <r>
      <rPr>
        <sz val="10"/>
        <color rgb="FFFF0000"/>
        <rFont val="Arial"/>
        <family val="2"/>
      </rPr>
      <t xml:space="preserve">. Para Fi dispositivo 1, 2, etc. introduzca el flujo total de tal dispositivo, pero solo mientras hay datos confirmando su estado operativo (es decir, solo mientras esta prendido). </t>
    </r>
  </si>
  <si>
    <r>
      <t>BDE</t>
    </r>
    <r>
      <rPr>
        <b/>
        <vertAlign val="subscript"/>
        <sz val="10"/>
        <rFont val="Arial"/>
        <family val="2"/>
      </rPr>
      <t>i,weighted</t>
    </r>
    <r>
      <rPr>
        <b/>
        <sz val="10"/>
        <color indexed="10"/>
        <rFont val="Arial"/>
        <family val="2"/>
      </rPr>
      <t>*</t>
    </r>
  </si>
  <si>
    <t>IV.A.ii:  Sistema de medición</t>
  </si>
  <si>
    <t>IV.A.iii  Datos de Entrada de la Medición Continua del Flujo con Medición Periódica de la Concentración de Metano</t>
  </si>
  <si>
    <r>
      <t>F (m</t>
    </r>
    <r>
      <rPr>
        <b/>
        <vertAlign val="superscript"/>
        <sz val="10"/>
        <rFont val="Arial"/>
        <family val="2"/>
      </rPr>
      <t>3</t>
    </r>
    <r>
      <rPr>
        <b/>
        <sz val="10"/>
        <rFont val="Arial"/>
        <family val="2"/>
      </rPr>
      <t>/mes)</t>
    </r>
    <r>
      <rPr>
        <b/>
        <vertAlign val="superscript"/>
        <sz val="10"/>
        <rFont val="Arial"/>
        <family val="2"/>
      </rPr>
      <t>1</t>
    </r>
  </si>
  <si>
    <r>
      <t>CH</t>
    </r>
    <r>
      <rPr>
        <b/>
        <vertAlign val="subscript"/>
        <sz val="10"/>
        <rFont val="Arial"/>
        <family val="2"/>
      </rPr>
      <t>4,conc</t>
    </r>
    <r>
      <rPr>
        <b/>
        <sz val="10"/>
        <rFont val="Arial"/>
        <family val="2"/>
      </rPr>
      <t xml:space="preserve"> (fracción)</t>
    </r>
  </si>
  <si>
    <r>
      <t>* K</t>
    </r>
    <r>
      <rPr>
        <sz val="12"/>
        <color theme="1"/>
        <rFont val="Calibri"/>
        <family val="2"/>
        <scheme val="minor"/>
      </rPr>
      <t xml:space="preserve"> = Kelvin = </t>
    </r>
    <r>
      <rPr>
        <vertAlign val="superscript"/>
        <sz val="10"/>
        <rFont val="Arial"/>
        <family val="2"/>
      </rPr>
      <t>o</t>
    </r>
    <r>
      <rPr>
        <sz val="12"/>
        <color theme="1"/>
        <rFont val="Calibri"/>
        <family val="2"/>
        <scheme val="minor"/>
      </rPr>
      <t>C + 273</t>
    </r>
  </si>
  <si>
    <t xml:space="preserve">IV.A.iv:  Datos de entrada de la medición continua del flujo y concentración de metano </t>
  </si>
  <si>
    <t>Esta sección debe se completará sólo si un "Sí" se ha introducido en la celda D34. Si un "no" se ha introducido en la celda D34, complete únicamente la sección IV.A.iii.</t>
  </si>
  <si>
    <r>
      <rPr>
        <sz val="12"/>
        <color theme="1"/>
        <rFont val="Calibri"/>
        <family val="2"/>
        <scheme val="minor"/>
      </rPr>
      <t>Si el flujo y la concentración de metano es medida continuamente (ver sección IV.A.ii), introduzca los valores medidos acumulados mensuales (CH</t>
    </r>
    <r>
      <rPr>
        <vertAlign val="subscript"/>
        <sz val="12"/>
        <color theme="1"/>
        <rFont val="Calibri"/>
        <family val="2"/>
        <scheme val="minor"/>
      </rPr>
      <t>4</t>
    </r>
    <r>
      <rPr>
        <sz val="12"/>
        <color theme="1"/>
        <rFont val="Calibri"/>
        <family val="2"/>
        <scheme val="minor"/>
      </rPr>
      <t xml:space="preserve">, metros) siguiendo la ecuación 5.6. </t>
    </r>
  </si>
  <si>
    <r>
      <t>CH</t>
    </r>
    <r>
      <rPr>
        <b/>
        <vertAlign val="subscript"/>
        <sz val="10"/>
        <rFont val="Arial"/>
        <family val="2"/>
      </rPr>
      <t>4,meter</t>
    </r>
    <r>
      <rPr>
        <b/>
        <sz val="10"/>
        <rFont val="Arial"/>
        <family val="2"/>
      </rPr>
      <t>(tCH</t>
    </r>
    <r>
      <rPr>
        <b/>
        <vertAlign val="subscript"/>
        <sz val="10"/>
        <rFont val="Arial"/>
        <family val="2"/>
      </rPr>
      <t>4</t>
    </r>
    <r>
      <rPr>
        <b/>
        <sz val="10"/>
        <rFont val="Arial"/>
        <family val="2"/>
      </rPr>
      <t>/mes)</t>
    </r>
    <r>
      <rPr>
        <b/>
        <vertAlign val="superscript"/>
        <sz val="10"/>
        <rFont val="Arial"/>
        <family val="2"/>
      </rPr>
      <t>1</t>
    </r>
  </si>
  <si>
    <t xml:space="preserve">IV.B. Datos de entrada para las Emisiones de Metano por  Eventos de Ventilación [Protocolo - Ecuación 5.7] Cálculado en la Hoja IX   </t>
  </si>
  <si>
    <r>
      <t>Si el SCB se compone de múltiples tanques digestores o lagunas cubiertas, el proyecto sólo necesita cuantificar el máximo almacenamiento de información (MS</t>
    </r>
    <r>
      <rPr>
        <vertAlign val="subscript"/>
        <sz val="10"/>
        <rFont val="Arial"/>
        <family val="2"/>
      </rPr>
      <t>SCB</t>
    </r>
    <r>
      <rPr>
        <sz val="10"/>
        <rFont val="Arial"/>
        <family val="2"/>
      </rPr>
      <t>) y flujo de biogás (F</t>
    </r>
    <r>
      <rPr>
        <vertAlign val="subscript"/>
        <sz val="10"/>
        <rFont val="Arial"/>
        <family val="2"/>
      </rPr>
      <t>pw</t>
    </r>
    <r>
      <rPr>
        <sz val="10"/>
        <rFont val="Arial"/>
        <family val="2"/>
      </rPr>
      <t>) de los componentes de la SCB que experimentaron el evento de ventilación. "t" representa el número de días del mes que el biogás es ventilado sin control desde el sistema SCB (puede ser una fracción).</t>
    </r>
  </si>
  <si>
    <r>
      <t>MS</t>
    </r>
    <r>
      <rPr>
        <b/>
        <vertAlign val="subscript"/>
        <sz val="10"/>
        <rFont val="Arial"/>
        <family val="2"/>
      </rPr>
      <t>SCB</t>
    </r>
    <r>
      <rPr>
        <b/>
        <sz val="10"/>
        <rFont val="Arial"/>
        <family val="2"/>
      </rPr>
      <t xml:space="preserve"> (m</t>
    </r>
    <r>
      <rPr>
        <b/>
        <vertAlign val="superscript"/>
        <sz val="10"/>
        <rFont val="Arial"/>
        <family val="2"/>
      </rPr>
      <t>3</t>
    </r>
    <r>
      <rPr>
        <b/>
        <sz val="10"/>
        <rFont val="Arial"/>
        <family val="2"/>
      </rPr>
      <t>)</t>
    </r>
  </si>
  <si>
    <r>
      <t>F</t>
    </r>
    <r>
      <rPr>
        <b/>
        <vertAlign val="subscript"/>
        <sz val="10"/>
        <rFont val="Arial"/>
        <family val="2"/>
      </rPr>
      <t>pw</t>
    </r>
    <r>
      <rPr>
        <b/>
        <sz val="10"/>
        <rFont val="Arial"/>
        <family val="2"/>
      </rPr>
      <t xml:space="preserve"> (m</t>
    </r>
    <r>
      <rPr>
        <b/>
        <vertAlign val="superscript"/>
        <sz val="10"/>
        <rFont val="Arial"/>
        <family val="2"/>
      </rPr>
      <t>3</t>
    </r>
    <r>
      <rPr>
        <b/>
        <sz val="10"/>
        <rFont val="Arial"/>
        <family val="2"/>
      </rPr>
      <t>/day)</t>
    </r>
  </si>
  <si>
    <t>t (días)</t>
  </si>
  <si>
    <r>
      <t xml:space="preserve">IV.C. Datos de entrada de las Emisiones de Metano del Proyecto del Estanque Efluente del Sistema de Control de Biogás </t>
    </r>
    <r>
      <rPr>
        <b/>
        <vertAlign val="superscript"/>
        <sz val="12"/>
        <rFont val="Arial"/>
        <family val="2"/>
      </rPr>
      <t>1</t>
    </r>
    <r>
      <rPr>
        <b/>
        <sz val="12"/>
        <rFont val="Arial"/>
        <family val="2"/>
      </rPr>
      <t xml:space="preserve"> [Protocolo - Ecuación 5.8] Calculado en la Hoja de Trabajo X</t>
    </r>
  </si>
  <si>
    <r>
      <t>VS</t>
    </r>
    <r>
      <rPr>
        <b/>
        <vertAlign val="subscript"/>
        <sz val="10"/>
        <rFont val="Arial"/>
        <family val="2"/>
      </rPr>
      <t xml:space="preserve">L </t>
    </r>
    <r>
      <rPr>
        <b/>
        <sz val="10"/>
        <rFont val="Arial"/>
        <family val="2"/>
      </rPr>
      <t>(kg/animal/día)</t>
    </r>
  </si>
  <si>
    <r>
      <t>MS</t>
    </r>
    <r>
      <rPr>
        <b/>
        <vertAlign val="subscript"/>
        <sz val="10"/>
        <rFont val="Arial"/>
        <family val="2"/>
      </rPr>
      <t>L,SCB</t>
    </r>
  </si>
  <si>
    <r>
      <t>VS</t>
    </r>
    <r>
      <rPr>
        <b/>
        <vertAlign val="subscript"/>
        <sz val="10"/>
        <rFont val="Arial"/>
        <family val="2"/>
      </rPr>
      <t>ep,L</t>
    </r>
  </si>
  <si>
    <r>
      <t>Total VS</t>
    </r>
    <r>
      <rPr>
        <b/>
        <vertAlign val="subscript"/>
        <sz val="10"/>
        <rFont val="Arial"/>
        <family val="2"/>
      </rPr>
      <t>ep</t>
    </r>
    <r>
      <rPr>
        <b/>
        <sz val="10"/>
        <rFont val="Arial"/>
        <family val="2"/>
      </rPr>
      <t xml:space="preserve"> = </t>
    </r>
  </si>
  <si>
    <r>
      <t>B</t>
    </r>
    <r>
      <rPr>
        <b/>
        <vertAlign val="subscript"/>
        <sz val="10"/>
        <rFont val="Arial"/>
        <family val="2"/>
      </rPr>
      <t>0,ep</t>
    </r>
    <r>
      <rPr>
        <b/>
        <sz val="10"/>
        <rFont val="Arial"/>
        <family val="2"/>
      </rPr>
      <t xml:space="preserve"> (m</t>
    </r>
    <r>
      <rPr>
        <b/>
        <vertAlign val="superscript"/>
        <sz val="10"/>
        <rFont val="Arial"/>
        <family val="2"/>
      </rPr>
      <t>3</t>
    </r>
    <r>
      <rPr>
        <b/>
        <sz val="10"/>
        <rFont val="Arial"/>
        <family val="2"/>
      </rPr>
      <t>CH</t>
    </r>
    <r>
      <rPr>
        <b/>
        <vertAlign val="subscript"/>
        <sz val="10"/>
        <rFont val="Arial"/>
        <family val="2"/>
      </rPr>
      <t>4</t>
    </r>
    <r>
      <rPr>
        <b/>
        <sz val="10"/>
        <rFont val="Arial"/>
        <family val="2"/>
      </rPr>
      <t>/kg of VS)</t>
    </r>
    <r>
      <rPr>
        <b/>
        <vertAlign val="superscript"/>
        <sz val="10"/>
        <rFont val="Arial"/>
        <family val="2"/>
      </rPr>
      <t>2</t>
    </r>
  </si>
  <si>
    <r>
      <t>MCF</t>
    </r>
    <r>
      <rPr>
        <b/>
        <vertAlign val="subscript"/>
        <sz val="10"/>
        <rFont val="Arial"/>
        <family val="2"/>
      </rPr>
      <t>ep</t>
    </r>
    <r>
      <rPr>
        <b/>
        <sz val="10"/>
        <rFont val="Arial"/>
        <family val="2"/>
      </rPr>
      <t xml:space="preserve"> (fraccción)</t>
    </r>
    <r>
      <rPr>
        <b/>
        <vertAlign val="superscript"/>
        <sz val="10"/>
        <rFont val="Arial"/>
        <family val="2"/>
      </rPr>
      <t>3</t>
    </r>
  </si>
  <si>
    <t>IV.D.  Emisiones de Metano del Proyecto de Fuentes Relacionadas con Sistemas de Control que no sean de Control de Biogás, Post-Proyecto [Protocolo - Ecuación 5.9]</t>
  </si>
  <si>
    <t>Introduzca en los campos amarillos los sistemas de almacenamiento/tratamiento en uso que que no sean el sistema de control de biogás ni el estanque efluente asociado (si se utiliza). Consulte el cuadro XIV.A de la Hoja de Trabajo XIV  para las definiciones de los componentes del sistema. Las categorías de sistemas de almacenamiento/tratamiento que no sean aplicables deben dejarse en blanco. Introduzca en los campos naranja el valor de MCF de los ssistemas que no sean laguna y estanque de almacenamiento.  Consulte el cuadro XIV.D de la Hoja de Trabajo XIV para los factores de conversión por defecto de metano de los componentes del sistema de manejo de estiércol. Las categorías de almacenamiento de componentes que no son aplicables deben dejarse en blanco.</t>
  </si>
  <si>
    <t>IV.E.  Fracción de estiércol por Categoría de Ganado L que se almacena/trata en otro sistema de almacenamiento S (MSL, s) para el cálculo del proyecto además de SCB + estanque efluente del sistema</t>
  </si>
  <si>
    <t>Introduzca la fracción (en formato decimal) del estiércol de cada categoría de animales que es almacenada o tratada en cada componente del sistema dentro de los campos amarillos. Los componentes de almacenamiento y las categorías de ganado que no son aplicables deben dejarse en blanco.</t>
  </si>
  <si>
    <t>IV.F. ¿La fracción de estiércol que es manejada en el sistema (s) de almacenamiento/tratamiento cambia de forma mensual o estacional?</t>
  </si>
  <si>
    <t>Si contestó sí, ajuste la Sección IV.E conforme al manejo utilizado</t>
  </si>
  <si>
    <t>IV.G. Datos de Entrada de las Emisiones del Proyecto de Bióxido de Carbono [Protocolo - Ecuación 5.11] se calcula en la hoja de XIII</t>
  </si>
  <si>
    <r>
      <t>IV.G.i. Datos de entrada de las Emisiones del Proyecto de Bioxido de Carbono de las fuentes de combustión móvil y estacionaria: CO</t>
    </r>
    <r>
      <rPr>
        <b/>
        <vertAlign val="subscript"/>
        <sz val="10"/>
        <rFont val="Arial"/>
        <family val="2"/>
      </rPr>
      <t>2</t>
    </r>
    <r>
      <rPr>
        <b/>
        <sz val="10"/>
        <rFont val="Arial"/>
        <family val="2"/>
      </rPr>
      <t xml:space="preserve"> (MSC) </t>
    </r>
  </si>
  <si>
    <t>Introduzca la fuente, tipo de combustible, la cantidad anual de combustible (QF), y los factores de emisión específicos (EFC02) para todas las fuentes de combustión móviles en sitio del proyecto. Consulte la Hoja de Trabajo XIV cuadro de los XIV.E para los valores por defecto EFC02 de las fuentes móviles.</t>
  </si>
  <si>
    <t>Tipo de combustible (c)</t>
  </si>
  <si>
    <r>
      <t>EFCO</t>
    </r>
    <r>
      <rPr>
        <b/>
        <vertAlign val="subscript"/>
        <sz val="10"/>
        <rFont val="Arial"/>
        <family val="2"/>
      </rPr>
      <t>2</t>
    </r>
    <r>
      <rPr>
        <b/>
        <sz val="10"/>
        <rFont val="Arial"/>
        <family val="2"/>
      </rPr>
      <t>,f (kgCO</t>
    </r>
    <r>
      <rPr>
        <b/>
        <vertAlign val="subscript"/>
        <sz val="10"/>
        <rFont val="Arial"/>
        <family val="2"/>
      </rPr>
      <t>2</t>
    </r>
    <r>
      <rPr>
        <b/>
        <sz val="10"/>
        <rFont val="Arial"/>
        <family val="2"/>
      </rPr>
      <t>/GJ)</t>
    </r>
  </si>
  <si>
    <r>
      <t>IV.G.ii. Datos de entrada de las Emisiones del Proyecto de Bioxido de Carbono de las fuentes de combustión estacionaria: CO</t>
    </r>
    <r>
      <rPr>
        <b/>
        <vertAlign val="subscript"/>
        <sz val="10"/>
        <rFont val="Arial"/>
        <family val="2"/>
      </rPr>
      <t>2</t>
    </r>
    <r>
      <rPr>
        <b/>
        <sz val="10"/>
        <rFont val="Arial"/>
        <family val="2"/>
      </rPr>
      <t xml:space="preserve"> (MSC) </t>
    </r>
  </si>
  <si>
    <t xml:space="preserve">IV.G.iii.  Datos de Entrada de Emisiones del Proyecto de Bioxido de Carbono por Consumo de Electricidad: CO2, MSC </t>
  </si>
  <si>
    <t>IV.G.iv. Electricidad Generada por el Proyecto</t>
  </si>
  <si>
    <t>Generación total</t>
  </si>
  <si>
    <t>Hoja de Trabajo V:  Emisiones de la Línea Base de Metano de los Sistemas de Almacenamiento/Tratamiento Anaeróbicos</t>
  </si>
  <si>
    <t>Nota para el Usuario: Las fórmulas de cálculo y las descripciones se proporcionan en la hoja de trabajo XV.</t>
  </si>
  <si>
    <r>
      <t>IV.A.  Emisiones de la Línea Base de Metano de los Sistemas de Almacenamiento/Tratamiento Anaeróbicos por Categoría de Ganado: BE</t>
    </r>
    <r>
      <rPr>
        <b/>
        <u/>
        <vertAlign val="subscript"/>
        <sz val="12"/>
        <rFont val="Arial"/>
        <family val="2"/>
      </rPr>
      <t>CH4,AS,y</t>
    </r>
    <r>
      <rPr>
        <b/>
        <u/>
        <sz val="12"/>
        <rFont val="Arial"/>
        <family val="2"/>
      </rPr>
      <t xml:space="preserve">  [Protocolo - Ecuación 5.3]</t>
    </r>
  </si>
  <si>
    <r>
      <t>VS</t>
    </r>
    <r>
      <rPr>
        <b/>
        <vertAlign val="subscript"/>
        <sz val="10"/>
        <rFont val="Arial"/>
        <family val="2"/>
      </rPr>
      <t>in,L</t>
    </r>
    <r>
      <rPr>
        <b/>
        <sz val="10"/>
        <rFont val="Arial"/>
        <family val="2"/>
      </rPr>
      <t xml:space="preserve"> (kg/animal/día) = </t>
    </r>
  </si>
  <si>
    <t>f</t>
  </si>
  <si>
    <r>
      <t>VS</t>
    </r>
    <r>
      <rPr>
        <b/>
        <vertAlign val="subscript"/>
        <sz val="10"/>
        <rFont val="Arial"/>
        <family val="2"/>
      </rPr>
      <t>L input</t>
    </r>
    <r>
      <rPr>
        <b/>
        <sz val="10"/>
        <rFont val="Arial"/>
        <family val="2"/>
      </rPr>
      <t xml:space="preserve"> (kg/animal/día)</t>
    </r>
  </si>
  <si>
    <r>
      <t>VS</t>
    </r>
    <r>
      <rPr>
        <b/>
        <vertAlign val="subscript"/>
        <sz val="10"/>
        <rFont val="Arial"/>
        <family val="2"/>
      </rPr>
      <t xml:space="preserve">avail,AS  </t>
    </r>
    <r>
      <rPr>
        <b/>
        <sz val="10"/>
        <rFont val="Arial"/>
        <family val="2"/>
      </rPr>
      <t>(kg)</t>
    </r>
  </si>
  <si>
    <r>
      <t>(Vs</t>
    </r>
    <r>
      <rPr>
        <b/>
        <vertAlign val="subscript"/>
        <sz val="10"/>
        <rFont val="Arial"/>
        <family val="2"/>
      </rPr>
      <t xml:space="preserve">avail-1,AS </t>
    </r>
    <r>
      <rPr>
        <b/>
        <sz val="10"/>
        <rFont val="Arial"/>
        <family val="2"/>
      </rPr>
      <t>- VS</t>
    </r>
    <r>
      <rPr>
        <b/>
        <vertAlign val="subscript"/>
        <sz val="10"/>
        <rFont val="Arial"/>
        <family val="2"/>
      </rPr>
      <t>deg-1,AS</t>
    </r>
    <r>
      <rPr>
        <b/>
        <sz val="10"/>
        <rFont val="Arial"/>
        <family val="2"/>
      </rPr>
      <t xml:space="preserve">) (kg)  </t>
    </r>
  </si>
  <si>
    <r>
      <t>VS</t>
    </r>
    <r>
      <rPr>
        <b/>
        <vertAlign val="subscript"/>
        <sz val="10"/>
        <rFont val="Arial"/>
        <family val="2"/>
      </rPr>
      <t>deg,AS</t>
    </r>
    <r>
      <rPr>
        <b/>
        <sz val="10"/>
        <rFont val="Arial"/>
        <family val="2"/>
      </rPr>
      <t xml:space="preserve">  (kg)</t>
    </r>
  </si>
  <si>
    <r>
      <t>BE</t>
    </r>
    <r>
      <rPr>
        <b/>
        <vertAlign val="subscript"/>
        <sz val="10"/>
        <rFont val="Arial"/>
        <family val="2"/>
      </rPr>
      <t xml:space="preserve">CH4,AS  </t>
    </r>
    <r>
      <rPr>
        <b/>
        <sz val="10"/>
        <rFont val="Arial"/>
        <family val="2"/>
      </rPr>
      <t>(MT)</t>
    </r>
  </si>
  <si>
    <r>
      <t>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</si>
  <si>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t>Annual Total:</t>
  </si>
  <si>
    <t>Annual total:</t>
  </si>
  <si>
    <r>
      <t>VS</t>
    </r>
    <r>
      <rPr>
        <b/>
        <vertAlign val="subscript"/>
        <sz val="10"/>
        <rFont val="Arial"/>
        <family val="2"/>
      </rPr>
      <t>in,L</t>
    </r>
    <r>
      <rPr>
        <b/>
        <sz val="10"/>
        <rFont val="Arial"/>
        <family val="2"/>
      </rPr>
      <t xml:space="preserve"> (kg/animal/day) = </t>
    </r>
  </si>
  <si>
    <r>
      <t>IV.B  Total de Emisiones de la Línea Base de Metano de los Sistemas de Almacenamiento/Tratamiento Anaeróbicos: BE</t>
    </r>
    <r>
      <rPr>
        <b/>
        <u/>
        <vertAlign val="subscript"/>
        <sz val="12"/>
        <rFont val="Arial"/>
        <family val="2"/>
      </rPr>
      <t>CH4,AS,y</t>
    </r>
    <r>
      <rPr>
        <b/>
        <u/>
        <sz val="12"/>
        <rFont val="Arial"/>
        <family val="2"/>
      </rPr>
      <t xml:space="preserve"> [Protocolo - Ecuación 5.3]</t>
    </r>
  </si>
  <si>
    <r>
      <t>BE</t>
    </r>
    <r>
      <rPr>
        <b/>
        <vertAlign val="subscript"/>
        <sz val="10"/>
        <rFont val="Arial"/>
        <family val="2"/>
      </rPr>
      <t>CH4,AS</t>
    </r>
    <r>
      <rPr>
        <b/>
        <sz val="10"/>
        <rFont val="Arial"/>
        <family val="2"/>
      </rPr>
      <t>(MT)</t>
    </r>
  </si>
  <si>
    <r>
      <t xml:space="preserve">  tonnes CH</t>
    </r>
    <r>
      <rPr>
        <b/>
        <vertAlign val="subscript"/>
        <sz val="10"/>
        <rFont val="Arial"/>
        <family val="2"/>
      </rPr>
      <t>4</t>
    </r>
    <r>
      <rPr>
        <b/>
        <sz val="10"/>
        <rFont val="Arial"/>
        <family val="2"/>
      </rPr>
      <t xml:space="preserve"> year</t>
    </r>
    <r>
      <rPr>
        <b/>
        <vertAlign val="superscript"/>
        <sz val="10"/>
        <rFont val="Arial"/>
        <family val="2"/>
      </rPr>
      <t>-1</t>
    </r>
  </si>
  <si>
    <r>
      <t>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</si>
  <si>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r>
      <t xml:space="preserve"> tonnes CO</t>
    </r>
    <r>
      <rPr>
        <b/>
        <vertAlign val="subscript"/>
        <sz val="10"/>
        <rFont val="Arial"/>
        <family val="2"/>
      </rPr>
      <t>2</t>
    </r>
    <r>
      <rPr>
        <b/>
        <sz val="10"/>
        <rFont val="Arial"/>
        <family val="2"/>
      </rPr>
      <t>e year</t>
    </r>
    <r>
      <rPr>
        <b/>
        <vertAlign val="superscript"/>
        <sz val="10"/>
        <rFont val="Arial"/>
        <family val="2"/>
      </rPr>
      <t>-1</t>
    </r>
  </si>
  <si>
    <t>Hoja de Trabajo VI:  Emisiones de la Línea Base de Metano de los Sistemas de Almacenamiento/ Tratamiento No-Anaeróbicos</t>
  </si>
  <si>
    <t>Extraídos automáticamente de otras celdas</t>
  </si>
  <si>
    <t>VI.A.  Emisiones de la Línea Base de Metano de los Sistemas de Almacenamiento/ Tratamiento No-Anaeróbicos (por componente del sistema) [Protocolo - Ecuación 5.4]</t>
  </si>
  <si>
    <t xml:space="preserve">Todas las entradas para estos cálculos son tomados de la hoja de trabajo III. Datos entrada BE. </t>
  </si>
  <si>
    <r>
      <t>P</t>
    </r>
    <r>
      <rPr>
        <b/>
        <vertAlign val="subscript"/>
        <sz val="10"/>
        <rFont val="Arial"/>
        <family val="2"/>
      </rPr>
      <t xml:space="preserve">L </t>
    </r>
    <r>
      <rPr>
        <b/>
        <sz val="10"/>
        <rFont val="Arial"/>
        <family val="2"/>
      </rPr>
      <t>(animal/año)</t>
    </r>
  </si>
  <si>
    <r>
      <t>MS</t>
    </r>
    <r>
      <rPr>
        <b/>
        <vertAlign val="subscript"/>
        <sz val="10"/>
        <rFont val="Arial"/>
        <family val="2"/>
      </rPr>
      <t xml:space="preserve">L,nAS </t>
    </r>
    <r>
      <rPr>
        <b/>
        <sz val="10"/>
        <rFont val="Arial"/>
        <family val="2"/>
      </rPr>
      <t>(%)</t>
    </r>
  </si>
  <si>
    <r>
      <t>VS</t>
    </r>
    <r>
      <rPr>
        <b/>
        <vertAlign val="subscript"/>
        <sz val="10"/>
        <rFont val="Arial"/>
        <family val="2"/>
      </rPr>
      <t xml:space="preserve">in,L </t>
    </r>
    <r>
      <rPr>
        <b/>
        <sz val="10"/>
        <rFont val="Arial"/>
        <family val="2"/>
      </rPr>
      <t>(kg/animal/día)</t>
    </r>
  </si>
  <si>
    <r>
      <t>MCF</t>
    </r>
    <r>
      <rPr>
        <b/>
        <vertAlign val="subscript"/>
        <sz val="10"/>
        <rFont val="Arial"/>
        <family val="2"/>
      </rPr>
      <t xml:space="preserve">nAS </t>
    </r>
    <r>
      <rPr>
        <b/>
        <sz val="10"/>
        <rFont val="Arial"/>
        <family val="2"/>
      </rPr>
      <t>(%)</t>
    </r>
  </si>
  <si>
    <r>
      <t>B</t>
    </r>
    <r>
      <rPr>
        <b/>
        <vertAlign val="subscript"/>
        <sz val="10"/>
        <rFont val="Arial"/>
        <family val="2"/>
      </rPr>
      <t xml:space="preserve">o,L </t>
    </r>
    <r>
      <rPr>
        <b/>
        <sz val="10"/>
        <rFont val="Arial"/>
        <family val="2"/>
      </rP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t>
    </r>
  </si>
  <si>
    <r>
      <t>BE</t>
    </r>
    <r>
      <rPr>
        <b/>
        <vertAlign val="subscript"/>
        <sz val="10"/>
        <rFont val="Arial"/>
        <family val="2"/>
      </rPr>
      <t>CH4,nAS</t>
    </r>
    <r>
      <rPr>
        <b/>
        <sz val="10"/>
        <rFont val="Arial"/>
        <family val="2"/>
      </rPr>
      <t xml:space="preserve"> (MT) </t>
    </r>
  </si>
  <si>
    <r>
      <t>BE</t>
    </r>
    <r>
      <rPr>
        <b/>
        <vertAlign val="subscript"/>
        <sz val="10"/>
        <rFont val="Arial"/>
        <family val="2"/>
      </rPr>
      <t>CH4,nAS</t>
    </r>
    <r>
      <rPr>
        <b/>
        <sz val="10"/>
        <rFont val="Arial"/>
        <family val="2"/>
      </rPr>
      <t xml:space="preserve"> (CO2e)</t>
    </r>
  </si>
  <si>
    <t>Total:</t>
  </si>
  <si>
    <r>
      <t>VS</t>
    </r>
    <r>
      <rPr>
        <b/>
        <vertAlign val="subscript"/>
        <sz val="10"/>
        <rFont val="Arial"/>
        <family val="2"/>
      </rPr>
      <t xml:space="preserve">in,L </t>
    </r>
    <r>
      <rPr>
        <b/>
        <sz val="10"/>
        <rFont val="Arial"/>
        <family val="2"/>
      </rPr>
      <t>(kg/animal/day)</t>
    </r>
  </si>
  <si>
    <t xml:space="preserve">VI.B. Total de Emisiones de la Línea Base de Metano de los Sistemas de Almacenamiento/ Tratamiento No-Anaeróbicos  [Protocolo - Ecuación 5.4] </t>
  </si>
  <si>
    <t xml:space="preserve">Hoja de Trabajo VII:  Emisiones Totales de la Línea Base de Metano </t>
  </si>
  <si>
    <t>En esta sección se ofrece un resumen de las emisiones de la línea base de metano por categoría de ganado, sistema de almacenamiento / tratamiento, y el total de metano. Esta hoja de trabajo no requiere ninguna intervención del usuario o los ajustes.</t>
  </si>
  <si>
    <t>VII.A. Emisiones de la Línea Base de Metano por Categoría de Ganado (L)  [Protocolo - Ecuaciones 5.3 y 5.4]</t>
  </si>
  <si>
    <r>
      <t>Sum BE</t>
    </r>
    <r>
      <rPr>
        <b/>
        <vertAlign val="subscript"/>
        <sz val="10"/>
        <rFont val="Arial"/>
        <family val="2"/>
      </rPr>
      <t xml:space="preserve">CH4,AS  </t>
    </r>
    <r>
      <rPr>
        <b/>
        <sz val="10"/>
        <rFont val="Arial"/>
        <family val="2"/>
      </rPr>
      <t>(MT)</t>
    </r>
  </si>
  <si>
    <r>
      <t>Sum 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</si>
  <si>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r>
      <t>Sum BE</t>
    </r>
    <r>
      <rPr>
        <b/>
        <vertAlign val="subscript"/>
        <sz val="10"/>
        <rFont val="Arial"/>
        <family val="2"/>
      </rPr>
      <t>CH4,nAS</t>
    </r>
    <r>
      <rPr>
        <b/>
        <sz val="10"/>
        <rFont val="Arial"/>
        <family val="2"/>
      </rPr>
      <t xml:space="preserve"> (MT) </t>
    </r>
  </si>
  <si>
    <r>
      <t>Sum BE</t>
    </r>
    <r>
      <rPr>
        <b/>
        <vertAlign val="subscript"/>
        <sz val="10"/>
        <rFont val="Arial"/>
        <family val="2"/>
      </rPr>
      <t>CH4,nAS</t>
    </r>
    <r>
      <rPr>
        <b/>
        <sz val="10"/>
        <rFont val="Arial"/>
        <family val="2"/>
      </rPr>
      <t xml:space="preserve"> (CO2e)</t>
    </r>
  </si>
  <si>
    <r>
      <t>Total BE</t>
    </r>
    <r>
      <rPr>
        <b/>
        <vertAlign val="subscript"/>
        <sz val="10"/>
        <rFont val="Arial"/>
        <family val="2"/>
      </rPr>
      <t>CH4,L</t>
    </r>
    <r>
      <rPr>
        <b/>
        <sz val="10"/>
        <rFont val="Arial"/>
        <family val="2"/>
      </rPr>
      <t xml:space="preserve"> (MT)</t>
    </r>
  </si>
  <si>
    <r>
      <t>Total BE</t>
    </r>
    <r>
      <rPr>
        <b/>
        <vertAlign val="subscript"/>
        <sz val="10"/>
        <rFont val="Arial"/>
        <family val="2"/>
      </rPr>
      <t xml:space="preserve">CH4,L </t>
    </r>
    <r>
      <rPr>
        <b/>
        <sz val="10"/>
        <rFont val="Arial"/>
        <family val="2"/>
      </rPr>
      <t>(CO2e)</t>
    </r>
  </si>
  <si>
    <t>VII.B.  Emisiones de la Línea Base de Metano por Componente de Metano (S) [Protocolo - Ecuaciones 5.3 y 5.4]</t>
  </si>
  <si>
    <r>
      <t>Total BE</t>
    </r>
    <r>
      <rPr>
        <b/>
        <vertAlign val="subscript"/>
        <sz val="10"/>
        <rFont val="Arial"/>
        <family val="2"/>
      </rPr>
      <t xml:space="preserve">CH4,S  </t>
    </r>
    <r>
      <rPr>
        <b/>
        <sz val="10"/>
        <rFont val="Arial"/>
        <family val="2"/>
      </rPr>
      <t>(MT)</t>
    </r>
  </si>
  <si>
    <r>
      <t>Total BE</t>
    </r>
    <r>
      <rPr>
        <b/>
        <vertAlign val="subscript"/>
        <sz val="10"/>
        <rFont val="Arial"/>
        <family val="2"/>
      </rPr>
      <t>CH4,S</t>
    </r>
    <r>
      <rPr>
        <b/>
        <sz val="10"/>
        <rFont val="Arial"/>
        <family val="2"/>
      </rPr>
      <t xml:space="preserve"> (CO2e)</t>
    </r>
  </si>
  <si>
    <t>VII.C.  Emisiones de la Línea Base de Metano [Protocolo - Ecuación 5.2]</t>
  </si>
  <si>
    <r>
      <t>Total BE</t>
    </r>
    <r>
      <rPr>
        <b/>
        <vertAlign val="subscript"/>
        <sz val="10"/>
        <rFont val="Arial"/>
        <family val="2"/>
      </rPr>
      <t xml:space="preserve">CH4,S </t>
    </r>
    <r>
      <rPr>
        <b/>
        <sz val="10"/>
        <rFont val="Arial"/>
        <family val="2"/>
      </rPr>
      <t>(MT)</t>
    </r>
  </si>
  <si>
    <t xml:space="preserve">Hoja de Trabajo VIII:  Emisiones de Metano del Proyecto del Sistema de Control de Biogás </t>
  </si>
  <si>
    <t>Notas/comentarios del Usuario</t>
  </si>
  <si>
    <t>Nota para el usuario: Las fórmulas de cálculo y las descripciones se proporcionan en la hoja de trabajo XV.</t>
  </si>
  <si>
    <t>VIII.A.  Emisiones de Metano del Proyecto del Sistema de Control de Biogás [Protocolo - Ecuación 5.6] y Destrucción de Metano Medida [Protocol - Ecuación 5.10]</t>
  </si>
  <si>
    <t>Todas los valores de entrada para esta hoja son tomados de Hoja IV. Datos de entradas-PE. Esta hoja de trabajo no requiere ninguna intervención o ajustes por parte del usuario.</t>
  </si>
  <si>
    <r>
      <t>T (</t>
    </r>
    <r>
      <rPr>
        <b/>
        <vertAlign val="superscript"/>
        <sz val="10"/>
        <rFont val="Arial"/>
        <family val="2"/>
      </rPr>
      <t>o</t>
    </r>
    <r>
      <rPr>
        <b/>
        <sz val="10"/>
        <rFont val="Arial"/>
        <family val="2"/>
      </rPr>
      <t>K)</t>
    </r>
  </si>
  <si>
    <t>P (atm)</t>
  </si>
  <si>
    <r>
      <t>F
(m</t>
    </r>
    <r>
      <rPr>
        <b/>
        <vertAlign val="superscript"/>
        <sz val="10"/>
        <rFont val="Arial"/>
        <family val="2"/>
      </rPr>
      <t>3</t>
    </r>
    <r>
      <rPr>
        <b/>
        <sz val="10"/>
        <rFont val="Arial"/>
        <family val="2"/>
      </rPr>
      <t>/mes)</t>
    </r>
  </si>
  <si>
    <r>
      <t>CH</t>
    </r>
    <r>
      <rPr>
        <b/>
        <vertAlign val="subscript"/>
        <sz val="10"/>
        <rFont val="Arial"/>
        <family val="2"/>
      </rPr>
      <t>4,conc</t>
    </r>
    <r>
      <rPr>
        <b/>
        <sz val="10"/>
        <rFont val="Arial"/>
        <family val="2"/>
      </rPr>
      <t xml:space="preserve"> (%)</t>
    </r>
  </si>
  <si>
    <r>
      <t>CH</t>
    </r>
    <r>
      <rPr>
        <b/>
        <vertAlign val="subscript"/>
        <sz val="10"/>
        <rFont val="Arial"/>
        <family val="2"/>
      </rPr>
      <t xml:space="preserve">4,meter
</t>
    </r>
    <r>
      <rPr>
        <b/>
        <sz val="10"/>
        <rFont val="Arial"/>
        <family val="2"/>
      </rPr>
      <t>(MTCH</t>
    </r>
    <r>
      <rPr>
        <b/>
        <vertAlign val="subscript"/>
        <sz val="10"/>
        <rFont val="Arial"/>
        <family val="2"/>
      </rPr>
      <t>4</t>
    </r>
    <r>
      <rPr>
        <b/>
        <sz val="10"/>
        <rFont val="Arial"/>
        <family val="2"/>
      </rPr>
      <t>/mes)</t>
    </r>
  </si>
  <si>
    <t>BCE
(fracción)</t>
  </si>
  <si>
    <t>BDE
(fracción)</t>
  </si>
  <si>
    <r>
      <t>PE</t>
    </r>
    <r>
      <rPr>
        <b/>
        <vertAlign val="subscript"/>
        <sz val="10"/>
        <rFont val="Arial"/>
        <family val="2"/>
      </rPr>
      <t xml:space="preserve">CH4,BCS
</t>
    </r>
    <r>
      <rPr>
        <b/>
        <sz val="10"/>
        <rFont val="Arial"/>
        <family val="2"/>
      </rPr>
      <t>(MTCH</t>
    </r>
    <r>
      <rPr>
        <b/>
        <vertAlign val="subscript"/>
        <sz val="10"/>
        <rFont val="Arial"/>
        <family val="2"/>
      </rPr>
      <t>4</t>
    </r>
    <r>
      <rPr>
        <b/>
        <sz val="10"/>
        <rFont val="Arial"/>
        <family val="2"/>
      </rPr>
      <t>/mes)</t>
    </r>
  </si>
  <si>
    <r>
      <t>PE</t>
    </r>
    <r>
      <rPr>
        <b/>
        <vertAlign val="subscript"/>
        <sz val="10"/>
        <rFont val="Arial"/>
        <family val="2"/>
      </rPr>
      <t xml:space="preserve">CH4,BCS
</t>
    </r>
    <r>
      <rPr>
        <b/>
        <sz val="10"/>
        <rFont val="Arial"/>
        <family val="2"/>
      </rPr>
      <t>(MTCO</t>
    </r>
    <r>
      <rPr>
        <b/>
        <vertAlign val="subscript"/>
        <sz val="10"/>
        <rFont val="Arial"/>
        <family val="2"/>
      </rPr>
      <t>2e</t>
    </r>
    <r>
      <rPr>
        <b/>
        <sz val="10"/>
        <rFont val="Arial"/>
        <family val="2"/>
      </rPr>
      <t>/mes)</t>
    </r>
  </si>
  <si>
    <r>
      <t>CH</t>
    </r>
    <r>
      <rPr>
        <b/>
        <vertAlign val="subscript"/>
        <sz val="10"/>
        <rFont val="Arial"/>
        <family val="2"/>
      </rPr>
      <t xml:space="preserve">4,destroyed
</t>
    </r>
    <r>
      <rPr>
        <b/>
        <sz val="10"/>
        <rFont val="Arial"/>
        <family val="2"/>
      </rPr>
      <t>(MTCH</t>
    </r>
    <r>
      <rPr>
        <b/>
        <vertAlign val="subscript"/>
        <sz val="10"/>
        <rFont val="Arial"/>
        <family val="2"/>
      </rPr>
      <t>4</t>
    </r>
    <r>
      <rPr>
        <b/>
        <sz val="10"/>
        <rFont val="Arial"/>
        <family val="2"/>
      </rPr>
      <t>/mes)</t>
    </r>
  </si>
  <si>
    <r>
      <t>CH</t>
    </r>
    <r>
      <rPr>
        <b/>
        <vertAlign val="subscript"/>
        <sz val="10"/>
        <rFont val="Arial"/>
        <family val="2"/>
      </rPr>
      <t xml:space="preserve">4,destroyed
</t>
    </r>
    <r>
      <rPr>
        <b/>
        <sz val="10"/>
        <rFont val="Arial"/>
        <family val="2"/>
      </rPr>
      <t>(MTCO</t>
    </r>
    <r>
      <rPr>
        <b/>
        <vertAlign val="subscript"/>
        <sz val="10"/>
        <rFont val="Arial"/>
        <family val="2"/>
      </rPr>
      <t>2e</t>
    </r>
    <r>
      <rPr>
        <b/>
        <sz val="10"/>
        <rFont val="Arial"/>
        <family val="2"/>
      </rPr>
      <t>/mes)</t>
    </r>
  </si>
  <si>
    <t>Total Anual:</t>
  </si>
  <si>
    <t>Hoja de Trabajo IX:   Emisión de Metano por un Evento de Ventilación</t>
  </si>
  <si>
    <t>Todas las entradas para esta hoja tomados de hoja IV. Datos de entradas-PE. Esta hoja de trabajo no requiere ninguna intervención del usuario o ajuste.</t>
  </si>
  <si>
    <t>IX.A.  Emisiones de Metano por un Evento de Ventilación [Protocolo - Ecuación 5.7]</t>
  </si>
  <si>
    <t>Si el SCB se compone de múltiples tanques digestores o lagunas cubiertas, el proyecto sólo necesita cuantificar el máximo almacenamiento de información (MSSCB) y flujo de biogás (Fpw ) de los componentes de la SCB que experimentaron el evento de ventilación.</t>
  </si>
  <si>
    <r>
      <t>F</t>
    </r>
    <r>
      <rPr>
        <b/>
        <vertAlign val="subscript"/>
        <sz val="10"/>
        <rFont val="Arial"/>
        <family val="2"/>
      </rPr>
      <t>pw</t>
    </r>
    <r>
      <rPr>
        <b/>
        <sz val="10"/>
        <rFont val="Arial"/>
        <family val="2"/>
      </rPr>
      <t xml:space="preserve"> (m</t>
    </r>
    <r>
      <rPr>
        <b/>
        <vertAlign val="superscript"/>
        <sz val="10"/>
        <rFont val="Arial"/>
        <family val="2"/>
      </rPr>
      <t>3</t>
    </r>
    <r>
      <rPr>
        <b/>
        <sz val="10"/>
        <rFont val="Arial"/>
        <family val="2"/>
      </rPr>
      <t>/día)</t>
    </r>
  </si>
  <si>
    <r>
      <t>CH</t>
    </r>
    <r>
      <rPr>
        <b/>
        <vertAlign val="subscript"/>
        <sz val="10"/>
        <rFont val="Arial"/>
        <family val="2"/>
      </rPr>
      <t xml:space="preserve">4,vent,I
</t>
    </r>
    <r>
      <rPr>
        <b/>
        <sz val="10"/>
        <rFont val="Arial"/>
        <family val="2"/>
      </rPr>
      <t>(MT)</t>
    </r>
  </si>
  <si>
    <r>
      <t>CH</t>
    </r>
    <r>
      <rPr>
        <b/>
        <vertAlign val="subscript"/>
        <sz val="10"/>
        <rFont val="Arial"/>
        <family val="2"/>
      </rPr>
      <t xml:space="preserve">4,vent,i
</t>
    </r>
    <r>
      <rPr>
        <b/>
        <sz val="10"/>
        <rFont val="Arial"/>
        <family val="2"/>
      </rPr>
      <t>(MTCO</t>
    </r>
    <r>
      <rPr>
        <b/>
        <vertAlign val="subscript"/>
        <sz val="10"/>
        <rFont val="Arial"/>
        <family val="2"/>
      </rPr>
      <t>2</t>
    </r>
    <r>
      <rPr>
        <b/>
        <sz val="10"/>
        <rFont val="Arial"/>
        <family val="2"/>
      </rPr>
      <t>e)</t>
    </r>
  </si>
  <si>
    <t xml:space="preserve">Total anual:  </t>
  </si>
  <si>
    <t>Hoja de Cálculo X:   Emisiones de Metano del Proyecto del Estanque Efluente del SCB</t>
  </si>
  <si>
    <t>X.A.  Emisiones de Metano del Proyecto del Estanque Efluente del Sistema de Control de Biogás [Protocolo - Ecuación 5.8]</t>
  </si>
  <si>
    <t>El valor de retiro voluntario se calcula de acuerdo a la ecuación 5.8. El cálculo supone que el 30% de los SV que ingresan en el digestor posteriormente salen el digestor en el efluente.</t>
  </si>
  <si>
    <r>
      <t>VS</t>
    </r>
    <r>
      <rPr>
        <b/>
        <vertAlign val="subscript"/>
        <sz val="10"/>
        <rFont val="Arial"/>
        <family val="2"/>
      </rPr>
      <t>ep</t>
    </r>
    <r>
      <rPr>
        <b/>
        <sz val="10"/>
        <rFont val="Arial"/>
        <family val="2"/>
      </rPr>
      <t xml:space="preserve">
(kg/día)</t>
    </r>
  </si>
  <si>
    <r>
      <t>B</t>
    </r>
    <r>
      <rPr>
        <b/>
        <vertAlign val="subscript"/>
        <sz val="10"/>
        <rFont val="Arial"/>
        <family val="2"/>
      </rPr>
      <t xml:space="preserve">o,ep
</t>
    </r>
    <r>
      <rPr>
        <b/>
        <sz val="10"/>
        <rFont val="Arial"/>
        <family val="2"/>
      </rPr>
      <t>(m</t>
    </r>
    <r>
      <rPr>
        <b/>
        <vertAlign val="superscript"/>
        <sz val="10"/>
        <rFont val="Arial"/>
        <family val="2"/>
      </rPr>
      <t>3</t>
    </r>
    <r>
      <rPr>
        <b/>
        <sz val="10"/>
        <rFont val="Arial"/>
        <family val="2"/>
      </rPr>
      <t>CH</t>
    </r>
    <r>
      <rPr>
        <b/>
        <vertAlign val="subscript"/>
        <sz val="10"/>
        <rFont val="Arial"/>
        <family val="2"/>
      </rPr>
      <t>4</t>
    </r>
    <r>
      <rPr>
        <b/>
        <sz val="10"/>
        <rFont val="Arial"/>
        <family val="2"/>
      </rPr>
      <t>/kg of VS)</t>
    </r>
  </si>
  <si>
    <r>
      <t>MCF</t>
    </r>
    <r>
      <rPr>
        <b/>
        <vertAlign val="subscript"/>
        <sz val="10"/>
        <rFont val="Arial"/>
        <family val="2"/>
      </rPr>
      <t>ep</t>
    </r>
    <r>
      <rPr>
        <b/>
        <sz val="10"/>
        <rFont val="Arial"/>
        <family val="2"/>
      </rPr>
      <t xml:space="preserve"> (%)</t>
    </r>
  </si>
  <si>
    <r>
      <t>PE</t>
    </r>
    <r>
      <rPr>
        <b/>
        <vertAlign val="subscript"/>
        <sz val="10"/>
        <rFont val="Arial"/>
        <family val="2"/>
      </rPr>
      <t xml:space="preserve">CH4,EP
</t>
    </r>
    <r>
      <rPr>
        <b/>
        <sz val="10"/>
        <rFont val="Arial"/>
        <family val="2"/>
      </rPr>
      <t>(MT CH</t>
    </r>
    <r>
      <rPr>
        <b/>
        <vertAlign val="subscript"/>
        <sz val="10"/>
        <rFont val="Arial"/>
        <family val="2"/>
      </rPr>
      <t>4</t>
    </r>
    <r>
      <rPr>
        <b/>
        <sz val="10"/>
        <rFont val="Arial"/>
        <family val="2"/>
      </rPr>
      <t>/yr)</t>
    </r>
  </si>
  <si>
    <r>
      <t>PE</t>
    </r>
    <r>
      <rPr>
        <b/>
        <vertAlign val="subscript"/>
        <sz val="10"/>
        <rFont val="Arial"/>
        <family val="2"/>
      </rPr>
      <t xml:space="preserve">CH4,EP
</t>
    </r>
    <r>
      <rPr>
        <b/>
        <sz val="10"/>
        <rFont val="Arial"/>
        <family val="2"/>
      </rPr>
      <t>(MT CO</t>
    </r>
    <r>
      <rPr>
        <b/>
        <vertAlign val="subscript"/>
        <sz val="10"/>
        <rFont val="Arial"/>
        <family val="2"/>
      </rPr>
      <t>2</t>
    </r>
    <r>
      <rPr>
        <b/>
        <sz val="10"/>
        <rFont val="Arial"/>
        <family val="2"/>
      </rPr>
      <t>e/año)</t>
    </r>
  </si>
  <si>
    <t>Hoja de Cálculo XI: Emisiones de Metano del Proyecto de Fuentes Relacionadas con Sistemas de Control que no sean de Control de Biogás</t>
  </si>
  <si>
    <t>XI.A.  Emisiones de Metano del Proyecto de Fuentes Relacionadas con Sistemas de Control que no sean de Control de Biogás [Protocolo - Ecuación 5.9]</t>
  </si>
  <si>
    <r>
      <t>Los valores de los sólidos volátiles para cada categoría de ganado  (VS</t>
    </r>
    <r>
      <rPr>
        <vertAlign val="subscript"/>
        <sz val="10"/>
        <rFont val="Arial"/>
        <family val="2"/>
      </rPr>
      <t>L</t>
    </r>
    <r>
      <rPr>
        <sz val="10"/>
        <rFont val="Arial"/>
        <family val="2"/>
      </rPr>
      <t>) son extraídos de forma automática de la Hoja de Trabajo III, secciones III.E, III.F y III.G. Los valores de Proyecto de VS y Bo son los mismos valores utilizados en los cálculos de la línea base. Esta hoja de trabajo no requiere ninguna intervención o ajuste por parte del usuario.</t>
    </r>
  </si>
  <si>
    <r>
      <t>VS</t>
    </r>
    <r>
      <rPr>
        <b/>
        <vertAlign val="subscript"/>
        <sz val="10"/>
        <rFont val="Arial"/>
        <family val="2"/>
      </rPr>
      <t xml:space="preserve">L </t>
    </r>
    <r>
      <rPr>
        <b/>
        <sz val="10"/>
        <rFont val="Arial"/>
        <family val="2"/>
      </rPr>
      <t>(kg materia seca/día) =</t>
    </r>
  </si>
  <si>
    <r>
      <t>B</t>
    </r>
    <r>
      <rPr>
        <b/>
        <vertAlign val="subscript"/>
        <sz val="10"/>
        <rFont val="Arial"/>
        <family val="2"/>
      </rPr>
      <t>o,L</t>
    </r>
    <r>
      <rPr>
        <b/>
        <sz val="10"/>
        <rFont val="Arial"/>
        <family val="2"/>
      </rPr>
      <t xml:space="preserve"> (m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 xml:space="preserve">/kg VS materia seca) = </t>
    </r>
  </si>
  <si>
    <t>Sistema Almacenamiento/Tratamiento (S)</t>
  </si>
  <si>
    <r>
      <t>MCF</t>
    </r>
    <r>
      <rPr>
        <b/>
        <vertAlign val="subscript"/>
        <sz val="10"/>
        <rFont val="Arial"/>
        <family val="2"/>
      </rPr>
      <t>S</t>
    </r>
    <r>
      <rPr>
        <b/>
        <sz val="10"/>
        <rFont val="Arial"/>
        <family val="2"/>
      </rPr>
      <t xml:space="preserve"> (%)</t>
    </r>
  </si>
  <si>
    <r>
      <t>MS</t>
    </r>
    <r>
      <rPr>
        <b/>
        <vertAlign val="subscript"/>
        <sz val="10"/>
        <rFont val="Arial"/>
        <family val="2"/>
      </rPr>
      <t>L,S</t>
    </r>
    <r>
      <rPr>
        <b/>
        <sz val="10"/>
        <rFont val="Arial"/>
        <family val="2"/>
      </rPr>
      <t xml:space="preserve"> (%)</t>
    </r>
  </si>
  <si>
    <r>
      <t>MCF</t>
    </r>
    <r>
      <rPr>
        <b/>
        <vertAlign val="subscript"/>
        <sz val="10"/>
        <rFont val="Arial"/>
        <family val="2"/>
      </rPr>
      <t>s</t>
    </r>
    <r>
      <rPr>
        <b/>
        <sz val="10"/>
        <rFont val="Arial"/>
        <family val="2"/>
      </rPr>
      <t>xMS</t>
    </r>
    <r>
      <rPr>
        <b/>
        <vertAlign val="subscript"/>
        <sz val="10"/>
        <rFont val="Arial"/>
        <family val="2"/>
      </rPr>
      <t>l,s</t>
    </r>
  </si>
  <si>
    <r>
      <t>EF</t>
    </r>
    <r>
      <rPr>
        <b/>
        <vertAlign val="subscript"/>
        <sz val="10"/>
        <rFont val="Arial"/>
        <family val="2"/>
      </rPr>
      <t>CH4,L</t>
    </r>
    <r>
      <rPr>
        <b/>
        <sz val="10"/>
        <rFont val="Arial"/>
        <family val="2"/>
      </rPr>
      <t>(n</t>
    </r>
    <r>
      <rPr>
        <b/>
        <vertAlign val="subscript"/>
        <sz val="10"/>
        <rFont val="Arial"/>
        <family val="2"/>
      </rPr>
      <t>SCB</t>
    </r>
    <r>
      <rPr>
        <b/>
        <sz val="10"/>
        <rFont val="Arial"/>
        <family val="2"/>
      </rPr>
      <t>)
(kgCH4/cabeza/año)</t>
    </r>
  </si>
  <si>
    <r>
      <t>VS</t>
    </r>
    <r>
      <rPr>
        <b/>
        <vertAlign val="subscript"/>
        <sz val="10"/>
        <rFont val="Arial"/>
        <family val="2"/>
      </rPr>
      <t xml:space="preserve">L </t>
    </r>
    <r>
      <rPr>
        <b/>
        <sz val="10"/>
        <rFont val="Arial"/>
        <family val="2"/>
      </rPr>
      <t>(kg dry matter/day) =</t>
    </r>
  </si>
  <si>
    <r>
      <t>B</t>
    </r>
    <r>
      <rPr>
        <b/>
        <vertAlign val="subscript"/>
        <sz val="10"/>
        <rFont val="Arial"/>
        <family val="2"/>
      </rPr>
      <t>o,L</t>
    </r>
    <r>
      <rPr>
        <b/>
        <sz val="10"/>
        <rFont val="Arial"/>
        <family val="2"/>
      </rPr>
      <t xml:space="preserve"> (m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 xml:space="preserve">/kg VS dry matter) = </t>
    </r>
  </si>
  <si>
    <t>XI.B.  Project Methane Emissions from Non-BCS-Related Sources [Protocol - Equation 5.9]</t>
  </si>
  <si>
    <r>
      <t>Total EF</t>
    </r>
    <r>
      <rPr>
        <b/>
        <vertAlign val="subscript"/>
        <sz val="10"/>
        <rFont val="Arial"/>
        <family val="2"/>
      </rPr>
      <t>CH4,L</t>
    </r>
    <r>
      <rPr>
        <b/>
        <sz val="10"/>
        <rFont val="Arial"/>
        <family val="2"/>
      </rPr>
      <t>(nSCB</t>
    </r>
    <r>
      <rPr>
        <b/>
        <sz val="10"/>
        <rFont val="Arial"/>
        <family val="2"/>
      </rPr>
      <t>)
(kg CH</t>
    </r>
    <r>
      <rPr>
        <b/>
        <vertAlign val="subscript"/>
        <sz val="10"/>
        <rFont val="Arial"/>
        <family val="2"/>
      </rPr>
      <t>4</t>
    </r>
    <r>
      <rPr>
        <b/>
        <sz val="10"/>
        <rFont val="Arial"/>
        <family val="2"/>
      </rPr>
      <t>/cabeza/año)</t>
    </r>
  </si>
  <si>
    <r>
      <t>P</t>
    </r>
    <r>
      <rPr>
        <b/>
        <vertAlign val="subscript"/>
        <sz val="10"/>
        <rFont val="Arial"/>
        <family val="2"/>
      </rPr>
      <t>L</t>
    </r>
    <r>
      <rPr>
        <b/>
        <sz val="10"/>
        <rFont val="Arial"/>
        <family val="2"/>
      </rPr>
      <t xml:space="preserve"> (cabeza)</t>
    </r>
  </si>
  <si>
    <t>Total kg CH4/year</t>
  </si>
  <si>
    <r>
      <t>PE</t>
    </r>
    <r>
      <rPr>
        <b/>
        <vertAlign val="subscript"/>
        <sz val="10"/>
        <rFont val="Arial"/>
        <family val="2"/>
      </rPr>
      <t xml:space="preserve">CH4,nSCB
</t>
    </r>
    <r>
      <rPr>
        <b/>
        <sz val="10"/>
        <rFont val="Arial"/>
        <family val="2"/>
      </rPr>
      <t>(MT CH4/año)</t>
    </r>
  </si>
  <si>
    <r>
      <t>PE</t>
    </r>
    <r>
      <rPr>
        <b/>
        <vertAlign val="subscript"/>
        <sz val="10"/>
        <rFont val="Arial"/>
        <family val="2"/>
      </rPr>
      <t xml:space="preserve">CH4,nSCB
</t>
    </r>
    <r>
      <rPr>
        <b/>
        <sz val="10"/>
        <rFont val="Arial"/>
        <family val="2"/>
      </rPr>
      <t>(MT CO2e/yr)</t>
    </r>
  </si>
  <si>
    <t xml:space="preserve">Hoja de Cálculo XI: Total de Emisiones de Metano del Proyecto </t>
  </si>
  <si>
    <t>Esta sección ofrece un resumen de las emisiones de metano del proyecto del SCB, efluente del estanque, y no SCB. Esta hoja de trabajo no requiere ninguna intervención o ajustes del usuario o los ajustes.</t>
  </si>
  <si>
    <t>XII.A.  Emisiones de Metano del Proyecto del Sistema de Control de Biogás [Protocolo - Ecuación 5.6]</t>
  </si>
  <si>
    <r>
      <t>PE</t>
    </r>
    <r>
      <rPr>
        <b/>
        <vertAlign val="subscript"/>
        <sz val="10"/>
        <rFont val="Arial"/>
        <family val="2"/>
      </rPr>
      <t>CH4,BCS</t>
    </r>
    <r>
      <rPr>
        <b/>
        <sz val="10"/>
        <rFont val="Arial"/>
        <family val="2"/>
      </rPr>
      <t xml:space="preserve"> (MT CH</t>
    </r>
    <r>
      <rPr>
        <b/>
        <vertAlign val="subscript"/>
        <sz val="10"/>
        <rFont val="Arial"/>
        <family val="2"/>
      </rPr>
      <t>4</t>
    </r>
    <r>
      <rPr>
        <b/>
        <sz val="10"/>
        <rFont val="Arial"/>
        <family val="2"/>
      </rPr>
      <t xml:space="preserve">/yr) = </t>
    </r>
  </si>
  <si>
    <r>
      <t>PE</t>
    </r>
    <r>
      <rPr>
        <b/>
        <vertAlign val="subscript"/>
        <sz val="10"/>
        <rFont val="Arial"/>
        <family val="2"/>
      </rPr>
      <t>CH4,BCS</t>
    </r>
    <r>
      <rPr>
        <b/>
        <sz val="10"/>
        <rFont val="Arial"/>
        <family val="2"/>
      </rPr>
      <t xml:space="preserve"> (MT CO</t>
    </r>
    <r>
      <rPr>
        <b/>
        <vertAlign val="subscript"/>
        <sz val="10"/>
        <rFont val="Arial"/>
        <family val="2"/>
      </rPr>
      <t>2</t>
    </r>
    <r>
      <rPr>
        <b/>
        <sz val="10"/>
        <rFont val="Arial"/>
        <family val="2"/>
      </rPr>
      <t xml:space="preserve">e/yr) = </t>
    </r>
  </si>
  <si>
    <t>XII.B.  Emisión de Metano por un Evento de Ventilación [Protocolo - Ecuación 5.7]</t>
  </si>
  <si>
    <r>
      <t>CH</t>
    </r>
    <r>
      <rPr>
        <b/>
        <vertAlign val="subscript"/>
        <sz val="10"/>
        <rFont val="Arial"/>
        <family val="2"/>
      </rPr>
      <t>4,vent,i</t>
    </r>
    <r>
      <rPr>
        <b/>
        <sz val="10"/>
        <rFont val="Arial"/>
        <family val="2"/>
      </rPr>
      <t xml:space="preserve"> (MTCH</t>
    </r>
    <r>
      <rPr>
        <b/>
        <vertAlign val="subscript"/>
        <sz val="10"/>
        <rFont val="Arial"/>
        <family val="2"/>
      </rPr>
      <t>4</t>
    </r>
    <r>
      <rPr>
        <b/>
        <sz val="10"/>
        <rFont val="Arial"/>
        <family val="2"/>
      </rPr>
      <t>/yr)</t>
    </r>
  </si>
  <si>
    <r>
      <t>CH</t>
    </r>
    <r>
      <rPr>
        <b/>
        <vertAlign val="subscript"/>
        <sz val="10"/>
        <rFont val="Arial"/>
        <family val="2"/>
      </rPr>
      <t>4,vent,i</t>
    </r>
    <r>
      <rPr>
        <b/>
        <sz val="10"/>
        <rFont val="Arial"/>
        <family val="2"/>
      </rPr>
      <t xml:space="preserve"> (MTCO</t>
    </r>
    <r>
      <rPr>
        <b/>
        <vertAlign val="subscript"/>
        <sz val="10"/>
        <rFont val="Arial"/>
        <family val="2"/>
      </rPr>
      <t>2</t>
    </r>
    <r>
      <rPr>
        <b/>
        <sz val="10"/>
        <rFont val="Arial"/>
        <family val="2"/>
      </rPr>
      <t>e/yr)</t>
    </r>
  </si>
  <si>
    <t>XII.C. Emisiones de Metano del Proyecto del Estanque Efluente del Sistema de Control de Biogás [Protocolo - Ecuación 5.8]</t>
  </si>
  <si>
    <r>
      <t>PE</t>
    </r>
    <r>
      <rPr>
        <b/>
        <vertAlign val="subscript"/>
        <sz val="10"/>
        <rFont val="Arial"/>
        <family val="2"/>
      </rPr>
      <t>CH4,EP</t>
    </r>
    <r>
      <rPr>
        <b/>
        <sz val="10"/>
        <rFont val="Arial"/>
        <family val="2"/>
      </rPr>
      <t xml:space="preserve"> (MT CH</t>
    </r>
    <r>
      <rPr>
        <b/>
        <vertAlign val="subscript"/>
        <sz val="10"/>
        <rFont val="Arial"/>
        <family val="2"/>
      </rPr>
      <t>4</t>
    </r>
    <r>
      <rPr>
        <b/>
        <sz val="10"/>
        <rFont val="Arial"/>
        <family val="2"/>
      </rPr>
      <t>/yr) =</t>
    </r>
  </si>
  <si>
    <r>
      <t>PE</t>
    </r>
    <r>
      <rPr>
        <b/>
        <vertAlign val="subscript"/>
        <sz val="10"/>
        <rFont val="Arial"/>
        <family val="2"/>
      </rPr>
      <t>CH4,EP</t>
    </r>
    <r>
      <rPr>
        <b/>
        <sz val="10"/>
        <rFont val="Arial"/>
        <family val="2"/>
      </rPr>
      <t xml:space="preserve"> (MT CO</t>
    </r>
    <r>
      <rPr>
        <b/>
        <vertAlign val="subscript"/>
        <sz val="10"/>
        <rFont val="Arial"/>
        <family val="2"/>
      </rPr>
      <t>2</t>
    </r>
    <r>
      <rPr>
        <b/>
        <sz val="10"/>
        <rFont val="Arial"/>
        <family val="2"/>
      </rPr>
      <t>e/yr) =</t>
    </r>
  </si>
  <si>
    <t>XII.D.  Emisiones de Metano del Proyecto de Fuentes Relacionadas con Sistemas de Control que no sean de Control de Biogás [Protocolo - Ecuación 5.9]</t>
  </si>
  <si>
    <r>
      <t>PE</t>
    </r>
    <r>
      <rPr>
        <b/>
        <vertAlign val="subscript"/>
        <sz val="10"/>
        <rFont val="Arial"/>
        <family val="2"/>
      </rPr>
      <t xml:space="preserve">CH4,non-BCS </t>
    </r>
    <r>
      <rPr>
        <b/>
        <sz val="10"/>
        <rFont val="Arial"/>
        <family val="2"/>
      </rPr>
      <t>(MT CH</t>
    </r>
    <r>
      <rPr>
        <b/>
        <vertAlign val="subscript"/>
        <sz val="10"/>
        <rFont val="Arial"/>
        <family val="2"/>
      </rPr>
      <t>4</t>
    </r>
    <r>
      <rPr>
        <b/>
        <sz val="10"/>
        <rFont val="Arial"/>
        <family val="2"/>
      </rPr>
      <t xml:space="preserve">/yr) = </t>
    </r>
  </si>
  <si>
    <r>
      <t>PE</t>
    </r>
    <r>
      <rPr>
        <b/>
        <vertAlign val="subscript"/>
        <sz val="10"/>
        <rFont val="Arial"/>
        <family val="2"/>
      </rPr>
      <t xml:space="preserve">CH4,non-BCS </t>
    </r>
    <r>
      <rPr>
        <b/>
        <sz val="10"/>
        <rFont val="Arial"/>
        <family val="2"/>
      </rPr>
      <t>(MT CO</t>
    </r>
    <r>
      <rPr>
        <b/>
        <vertAlign val="subscript"/>
        <sz val="10"/>
        <rFont val="Arial"/>
        <family val="2"/>
      </rPr>
      <t>2</t>
    </r>
    <r>
      <rPr>
        <b/>
        <sz val="10"/>
        <rFont val="Arial"/>
        <family val="2"/>
      </rPr>
      <t xml:space="preserve">e/yr) = </t>
    </r>
  </si>
  <si>
    <t>XII.E.  Total Project Methane Emissions [Protocol - Equation 5.5]</t>
  </si>
  <si>
    <r>
      <t>PE</t>
    </r>
    <r>
      <rPr>
        <b/>
        <vertAlign val="subscript"/>
        <sz val="10"/>
        <rFont val="Arial"/>
        <family val="2"/>
      </rPr>
      <t xml:space="preserve">CH4 </t>
    </r>
    <r>
      <rPr>
        <b/>
        <sz val="10"/>
        <rFont val="Arial"/>
        <family val="2"/>
      </rPr>
      <t>(MT CH</t>
    </r>
    <r>
      <rPr>
        <b/>
        <vertAlign val="subscript"/>
        <sz val="10"/>
        <rFont val="Arial"/>
        <family val="2"/>
      </rPr>
      <t>4</t>
    </r>
    <r>
      <rPr>
        <b/>
        <sz val="10"/>
        <rFont val="Arial"/>
        <family val="2"/>
      </rPr>
      <t>/yr)</t>
    </r>
  </si>
  <si>
    <r>
      <t>PE</t>
    </r>
    <r>
      <rPr>
        <b/>
        <vertAlign val="subscript"/>
        <sz val="10"/>
        <rFont val="Arial"/>
        <family val="2"/>
      </rPr>
      <t xml:space="preserve">CH4 </t>
    </r>
    <r>
      <rPr>
        <b/>
        <sz val="10"/>
        <rFont val="Arial"/>
        <family val="2"/>
      </rPr>
      <t>(MT CO</t>
    </r>
    <r>
      <rPr>
        <b/>
        <vertAlign val="subscript"/>
        <sz val="10"/>
        <rFont val="Arial"/>
        <family val="2"/>
      </rPr>
      <t>2</t>
    </r>
    <r>
      <rPr>
        <b/>
        <sz val="10"/>
        <rFont val="Arial"/>
        <family val="2"/>
      </rPr>
      <t xml:space="preserve">e/yr) = </t>
    </r>
  </si>
  <si>
    <t xml:space="preserve">Hoja de Trabajo XIII: Cálculos de Emisiones de Dioxido de Carbono </t>
  </si>
  <si>
    <t>Los valores de entrada para esta hoja de trabajo son tomados de las Hojas III y IV. Esta hoja de trabajo no requiere ninguna intervención o ajuste por parte del usuario.</t>
  </si>
  <si>
    <t>XIII.A. Emisiones de la Línea Base de Bióxido de Carbono [Protocolo - Ecuación 5.11]</t>
  </si>
  <si>
    <t>XIII.A.i.  Emisiones de la Línea Base de Bióxido de Carbono de las Fuentes de Combustión Móvil: CO2(MSC)</t>
  </si>
  <si>
    <r>
      <t>CO</t>
    </r>
    <r>
      <rPr>
        <b/>
        <vertAlign val="subscript"/>
        <sz val="10"/>
        <rFont val="Arial"/>
        <family val="2"/>
      </rPr>
      <t>2c</t>
    </r>
    <r>
      <rPr>
        <b/>
        <sz val="10"/>
        <rFont val="Arial"/>
        <family val="2"/>
      </rPr>
      <t xml:space="preserve"> (MT)</t>
    </r>
  </si>
  <si>
    <r>
      <t>Total CO</t>
    </r>
    <r>
      <rPr>
        <b/>
        <vertAlign val="subscript"/>
        <sz val="10"/>
        <rFont val="Arial"/>
        <family val="2"/>
      </rPr>
      <t xml:space="preserve">2(MSC) </t>
    </r>
    <r>
      <rPr>
        <b/>
        <sz val="10"/>
        <rFont val="Arial"/>
        <family val="2"/>
      </rPr>
      <t>de las fuentes de combustión móvil:</t>
    </r>
  </si>
  <si>
    <t>XIII.A.ii.   Emisiones de la Línea Base de Bióxido de Carbono de las Fuentes de Combustión Estacionarias: CO2(MSC): CO2(MSC)</t>
  </si>
  <si>
    <t>Fuente Estacionaria</t>
  </si>
  <si>
    <r>
      <t>Total CO</t>
    </r>
    <r>
      <rPr>
        <b/>
        <vertAlign val="subscript"/>
        <sz val="10"/>
        <rFont val="Arial"/>
        <family val="2"/>
      </rPr>
      <t xml:space="preserve">2(MSC) </t>
    </r>
    <r>
      <rPr>
        <b/>
        <sz val="10"/>
        <rFont val="Arial"/>
        <family val="2"/>
      </rPr>
      <t>de las fuentes de combustión móvil estacionarias:</t>
    </r>
  </si>
  <si>
    <t>XIII.A.iii.  Emisiones de la Línea Base de Bióxido de Carbono del consumo de electricidad: CO2,MSC</t>
  </si>
  <si>
    <r>
      <t>QE</t>
    </r>
    <r>
      <rPr>
        <b/>
        <vertAlign val="subscript"/>
        <sz val="10"/>
        <rFont val="Arial"/>
        <family val="2"/>
      </rPr>
      <t>c</t>
    </r>
    <r>
      <rPr>
        <b/>
        <sz val="10"/>
        <rFont val="Arial"/>
        <family val="2"/>
      </rPr>
      <t xml:space="preserve"> (MWh/yr)</t>
    </r>
  </si>
  <si>
    <r>
      <t>EF</t>
    </r>
    <r>
      <rPr>
        <b/>
        <vertAlign val="subscript"/>
        <sz val="10"/>
        <rFont val="Arial"/>
        <family val="2"/>
      </rPr>
      <t>CO2,e</t>
    </r>
    <r>
      <rPr>
        <b/>
        <sz val="10"/>
        <rFont val="Arial"/>
        <family val="2"/>
      </rPr>
      <t xml:space="preserve"> (kgCO</t>
    </r>
    <r>
      <rPr>
        <b/>
        <vertAlign val="subscript"/>
        <sz val="10"/>
        <rFont val="Arial"/>
        <family val="2"/>
      </rPr>
      <t>2</t>
    </r>
    <r>
      <rPr>
        <b/>
        <sz val="10"/>
        <rFont val="Arial"/>
        <family val="2"/>
      </rPr>
      <t>e/MWh)</t>
    </r>
  </si>
  <si>
    <t>XIII.A.iv. Total de Emisiones de la Línea Base de Bióxido de Carbono CO2,MSC:</t>
  </si>
  <si>
    <t>XIII.B. Emisiones de Bióxido de Carbono del Proyecto [Protocolo - Ecuación 5.11]</t>
  </si>
  <si>
    <t>XIII.B.i.  Emisiones de Bióxido de Carbono del Proyecto de las Fuentes de Combustión Móvil: CO2,MSC</t>
  </si>
  <si>
    <t>User Notes/Comments:</t>
  </si>
  <si>
    <t>XIII.B.ii.   Emisiones de Bióxido de Carbono del Proyecto de las Fuentes de Combustión Estacionarias: CO2,MSC</t>
  </si>
  <si>
    <t>QFc (GJ/año)</t>
  </si>
  <si>
    <t>EFCO2,f (kgCO2/GJ)</t>
  </si>
  <si>
    <r>
      <t>Total CO</t>
    </r>
    <r>
      <rPr>
        <b/>
        <vertAlign val="subscript"/>
        <sz val="10"/>
        <rFont val="Arial"/>
        <family val="2"/>
      </rPr>
      <t xml:space="preserve">2MSC </t>
    </r>
    <r>
      <rPr>
        <b/>
        <sz val="10"/>
        <rFont val="Arial"/>
        <family val="2"/>
      </rPr>
      <t>de las fuentes de combustión móvil estacionarias:</t>
    </r>
  </si>
  <si>
    <t>XIII.B.iii.  Emisiones de Bióxido de Carbono del Proyecto del consumo de electricidad: CO2,MSC</t>
  </si>
  <si>
    <t xml:space="preserve">XIII.B.iv  Comparación del Consumo de Electricidad de la Línea Base y el Consumo de Electricidad del Proyecto con Generación de Electricidad por las Actividades de Proyecto  </t>
  </si>
  <si>
    <t>Consumo de Línea Base</t>
  </si>
  <si>
    <t>MWh/yr</t>
  </si>
  <si>
    <t>Consumo del Proyecto</t>
  </si>
  <si>
    <t>Consumo Neto Adicional</t>
  </si>
  <si>
    <t>Generación del Proyecto</t>
  </si>
  <si>
    <t>Es la generación &gt; consumo neto?</t>
  </si>
  <si>
    <t>(Sí=0, No=1)</t>
  </si>
  <si>
    <t>XIII.B.v. Total de Emisiones de Bióxido de Carbono del Proyecto CO2,MSC:</t>
  </si>
  <si>
    <t>Hoja de Trabajo XIV:  Tablas de Referencia</t>
  </si>
  <si>
    <t xml:space="preserve">Tabla XIV.A.Tipos de sistema de manejo de excretas </t>
  </si>
  <si>
    <t>*Composteo es la oxidación biológica de un desecho sólido incluyendo el estiércol por lo general con cama u otra fuente orgánica de carbono usualmente a temperaturas termofílicas producidas por la producción microbiana de calor.</t>
  </si>
  <si>
    <t>Fuente: 2006 IPCC Guías para los Inventarios Nacionales de Gases de Efecto Invernadero, Capítulo 10: Emisiones resultantes del manejo del ganado y estiércol, Tabla 10.18: Definiciones de los sistemas de manejo de estiércol, p. 10.49.</t>
  </si>
  <si>
    <t>Tabla XIV.B. Categorías de Ganado y Masa Típica Promedio</t>
  </si>
  <si>
    <r>
      <t xml:space="preserve">Masa Típica Promedio (MTP) </t>
    </r>
    <r>
      <rPr>
        <b/>
        <sz val="10"/>
        <rFont val="Arial"/>
        <family val="2"/>
      </rPr>
      <t>del Ganado en kg</t>
    </r>
  </si>
  <si>
    <t>a</t>
  </si>
  <si>
    <t>b</t>
  </si>
  <si>
    <t>c</t>
  </si>
  <si>
    <t>d</t>
  </si>
  <si>
    <t>Tabla XIV.C. Sólidos Volátiles y Potencial Máximo de Metano por Categoría de Ganado</t>
  </si>
  <si>
    <r>
      <t>VS</t>
    </r>
    <r>
      <rPr>
        <b/>
        <vertAlign val="subscript"/>
        <sz val="10"/>
        <rFont val="Arial"/>
        <family val="2"/>
      </rPr>
      <t>L</t>
    </r>
  </si>
  <si>
    <r>
      <t>B</t>
    </r>
    <r>
      <rPr>
        <b/>
        <vertAlign val="subscript"/>
        <sz val="10"/>
        <rFont val="Arial"/>
        <family val="2"/>
      </rPr>
      <t>o,L</t>
    </r>
  </si>
  <si>
    <t>(kg/animal/día)</t>
  </si>
  <si>
    <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t>
    </r>
  </si>
  <si>
    <t>Tabla XIV.G. Valores por Defecto por Dispositivos de Destrucción de la Eficiencia de la Destrucción de Biogás</t>
  </si>
  <si>
    <t>Factor del potencial de calentamiento global de metano a bióxido de carbono equivalente</t>
  </si>
  <si>
    <t>Azul / Blue</t>
  </si>
  <si>
    <t>Automáticamente extraído de otras hojas de cálculo / Automatically drawn from the other worksheets</t>
  </si>
  <si>
    <t>Cálculos automáticos / Automatic Calculations</t>
  </si>
  <si>
    <t>Resultados finales de cálculo / Final calculation results</t>
  </si>
  <si>
    <t>III.A.  Información General / General Information</t>
  </si>
  <si>
    <t>III.B.  Temperaturas anuales mensuales / Annual Monthly Temperatures</t>
  </si>
  <si>
    <t>DRtool Version 1.0a - October 2023</t>
  </si>
  <si>
    <t>DRtool</t>
  </si>
  <si>
    <t>- campos que muestran los resultados de los cálculos finales se destacan en Rosa.
- fields showing the results of the final calculations are highlighted in pi nk</t>
  </si>
  <si>
    <t>Introduction to the Dominican Republic Livestock Calculation Tool</t>
  </si>
  <si>
    <t>Introducción a la Herramienta de Cálculo para Proyectos de Ganadería en Republica Dominicana:</t>
  </si>
  <si>
    <t>This calculation tool has been developed in order to assist with the quantification of emission reductions in compliance with the Dominican Republic Livestock  Protocol V1.0 of the Climate Action Reserve. The tool is designed to be as "simple" as possible, although at first glance, this tool may seem very complicated. It is important to note that only the worksheets that require user input are sheets III, IV, and V. The rest of the worksheets are for automatic calculations, tables and references and equation summaries. All other worksheets besides III, IV and V do not require user intervention or manipulation. With this in mind, the general layout is described below.</t>
  </si>
  <si>
    <t>Worksheet I. - Introduction and Instructions</t>
  </si>
  <si>
    <t>Worksheet II. - Summary of Calculations - This worksheet provides a summary of the final emissions and reductions to be reported to the Reserve</t>
  </si>
  <si>
    <t>Worksheet III. - Baseline Scenario Input Data - This sheet is for entering all baseline data - (extracted from on-site data and look-up tables) needed for the calculation of baseline emissions.</t>
  </si>
  <si>
    <t>Worksheet IV. - Input Data for Project Scenario - This sheet is for entering all project data (extracted from on-site data and look-up tables) needed for the calculation of project emissions.</t>
  </si>
  <si>
    <r>
      <t xml:space="preserve">Workseet V. - Baseline Methane Emissions from Anaerobic Storage/Treatment Systems - This worksheet is mostly automated, however, </t>
    </r>
    <r>
      <rPr>
        <b/>
        <i/>
        <sz val="10"/>
        <color rgb="FFFF0000"/>
        <rFont val="Arial"/>
        <family val="2"/>
      </rPr>
      <t>the user is responsible for manually entering input data from previous years' calculation data.</t>
    </r>
  </si>
  <si>
    <t>Worksheet VI. - Baseline Methane Emissions from Non-Aerobic Storage/Treatment Systems - User does not need to adjust or enter new data.</t>
  </si>
  <si>
    <t>Worksheet VII. - Total Baseline Emissions - Summary of total baseline emissions by livestock category and storage/treatment system. User does not need to adjust or enter new data.</t>
  </si>
  <si>
    <t>Worksheet VIII. - Biogas Control System Project Methane Emissions - Automated, User does not need to adjust or enter new data.</t>
  </si>
  <si>
    <t>Worksheet IX - Methane Emissions from a Venting Event. Automated, the User does not need to adjust or enter new data.</t>
  </si>
  <si>
    <t>Worksheet X - Methane Emissions from SCB Effluent Pond Project - Automated, no user input/adjustment required. Automated, no user input/adjustment required.</t>
  </si>
  <si>
    <t>Worksheet XI - Project Methane Emissions from Sources Related to Non-Biogas Control Systems - Automated, no user input/adjustment required. Automated, User does not need to adjust or enter new data.</t>
  </si>
  <si>
    <t>Worksheet XII. - Total Project Methane Emissions - Summary of total project methane emissions.  Automated, User does not need to adjust or enter new data.</t>
  </si>
  <si>
    <t>Worksheet XIII. - Carbon Dioxide Emissions Calculations - Automated, no user input/adjustment required. Automated, no user input/adjustment required.</t>
  </si>
  <si>
    <t>Input data description:</t>
  </si>
  <si>
    <t>Below is a description of the monthly required inputs (all other inputs are on an annual basis):</t>
  </si>
  <si>
    <t>On a monthly basis, project developers have to enter the following variables into this calculation tool:</t>
  </si>
  <si>
    <t>1) Update population by livestock type -- Spreadsheet III, Section III.</t>
  </si>
  <si>
    <t>2) Update the measured amount of methane captured and flared by the biogas collection system -- Worksheet IV, Section A.</t>
  </si>
  <si>
    <t>Other variables and parameters are entered into this calculation tool only once a year, and some only once at the beginning of the project.</t>
  </si>
  <si>
    <t>This workbook automatically calculates methane emissions using monthly data entered by project developers and values taken from the protocol.</t>
  </si>
  <si>
    <t>For convenience of use, cells within worksheets are defined in such a way that:</t>
  </si>
  <si>
    <t>- fields that are required to be filled in by the user using site-specific data are highlighted in yellow</t>
  </si>
  <si>
    <t>- fields that need to be filled in with information obtained from the lookup tables on Sheet XIV are highlighted in orange</t>
  </si>
  <si>
    <t>- fields that are auomatically calculated but must be recorded and used as input for next year's calculation are highlighted in peach</t>
  </si>
  <si>
    <t>- fields that are automaticalliy populated from data extracted from information previously provided by the user are highlighted in green</t>
  </si>
  <si>
    <t>- constant values are provided in gray fields</t>
  </si>
  <si>
    <t>- fields that are automatically calculated based on site-specific values and are highlighted in blue by default</t>
  </si>
  <si>
    <t>- fields showing alerts and notes for the user are highlighted in red</t>
  </si>
  <si>
    <t>- fields available for user notes and comments are higlighted in pale yellow</t>
  </si>
  <si>
    <t>- campos que requieren ser llenados con  la información obtenida de las tablas de consulta de  la Hoja XIV se destacan en Naranja.</t>
  </si>
  <si>
    <t>- campos que se calculan automáticamente pero que deben ser registrados y utilizados como insumo para el cálculo del próximo año se destacan en Durazno.</t>
  </si>
  <si>
    <t>- campos que se requieren para ser llenados por el usuario utilizando los datos específicos del sitio se destacan en Amarillo.</t>
  </si>
  <si>
    <t>- campos que se completan de forma automática a partir de datos extraídos de la información proporcionada previamente por el usuario se destacan en Verde.</t>
  </si>
  <si>
    <t>- valores constantes se proporcionan en los campos Grises.</t>
  </si>
  <si>
    <t>- campos que se calculan automáticamente basados en los valores específicos del lugar y por defecto se resaltan en Azul.</t>
  </si>
  <si>
    <t>- fields that are automatically calculated based on site-specific values and by default are highlighted in Blue.</t>
  </si>
  <si>
    <t>- campos que muestran alertas y notas para el Usuario se destacan en Rojo.</t>
  </si>
  <si>
    <t>- campos disponibles para las notas y los comentarios del Usuario se destacan en color Amarillo pálido</t>
  </si>
  <si>
    <t>Disclaimer: This template is designed to assist in the calculation of emission reductions using the guidelines and calculation methodologies set forth in the Dominican Republic Livestock  Protocol V1.0 of the Climate Action Reserve. All emission reduction calculations must be checked and verified by a 3rd party verifier, and all material errors and/or misstatements must be corrected prior to registration of emission reductions in the Climate Action Reserve.</t>
  </si>
  <si>
    <r>
      <t>Hoja de Trabajo II:  Resumen de Emisiones /</t>
    </r>
    <r>
      <rPr>
        <b/>
        <i/>
        <sz val="14"/>
        <rFont val="Arial"/>
        <family val="2"/>
      </rPr>
      <t xml:space="preserve"> Worksheet II. Emissions Summary</t>
    </r>
  </si>
  <si>
    <r>
      <t xml:space="preserve">Leyenda / </t>
    </r>
    <r>
      <rPr>
        <b/>
        <i/>
        <sz val="10"/>
        <rFont val="Arial"/>
        <family val="2"/>
      </rPr>
      <t>Legend:</t>
    </r>
  </si>
  <si>
    <r>
      <t xml:space="preserve">Verde / </t>
    </r>
    <r>
      <rPr>
        <b/>
        <i/>
        <sz val="10"/>
        <rFont val="Arial"/>
        <family val="2"/>
      </rPr>
      <t>Green</t>
    </r>
  </si>
  <si>
    <r>
      <t xml:space="preserve">Azul / </t>
    </r>
    <r>
      <rPr>
        <b/>
        <i/>
        <sz val="10"/>
        <rFont val="Arial"/>
        <family val="2"/>
      </rPr>
      <t>Blue</t>
    </r>
  </si>
  <si>
    <r>
      <t xml:space="preserve">Rosa / </t>
    </r>
    <r>
      <rPr>
        <b/>
        <i/>
        <sz val="10"/>
        <rFont val="Arial"/>
        <family val="2"/>
      </rPr>
      <t>Pink</t>
    </r>
  </si>
  <si>
    <r>
      <t xml:space="preserve">Nota para el usuario: Las fórmulas de cálculo y las descripciones se proporcionan en la sección "Descripción de cálculo" / </t>
    </r>
    <r>
      <rPr>
        <b/>
        <i/>
        <sz val="10"/>
        <rFont val="Arial"/>
        <family val="2"/>
      </rPr>
      <t>Note to the user: Calculation formulas and descriptions are provided in the "Calculations Description Worksheet"</t>
    </r>
  </si>
  <si>
    <r>
      <t xml:space="preserve">ID Proyecto en la Reserva / </t>
    </r>
    <r>
      <rPr>
        <b/>
        <i/>
        <sz val="10"/>
        <rFont val="Arial"/>
        <family val="2"/>
      </rPr>
      <t>Reserve Project ID</t>
    </r>
  </si>
  <si>
    <r>
      <t xml:space="preserve">II.A.  Total de Emisiones de la Línea Base Modeladas / </t>
    </r>
    <r>
      <rPr>
        <b/>
        <i/>
        <u/>
        <sz val="12"/>
        <rFont val="Arial"/>
        <family val="2"/>
      </rPr>
      <t>Total Modeled Baseline Emissions</t>
    </r>
  </si>
  <si>
    <r>
      <t xml:space="preserve">II.A.i. Total de Emisiones de la Línea Base Modeladas por Categoría de Ganado (L)  / </t>
    </r>
    <r>
      <rPr>
        <b/>
        <i/>
        <sz val="10"/>
        <rFont val="Arial"/>
        <family val="2"/>
      </rPr>
      <t>Total Modeled Baseline Methane Emissions by Livestock Category (L)</t>
    </r>
  </si>
  <si>
    <r>
      <t xml:space="preserve">Categoría de ganado (L) / </t>
    </r>
    <r>
      <rPr>
        <b/>
        <i/>
        <sz val="10"/>
        <rFont val="Arial"/>
        <family val="2"/>
      </rPr>
      <t>Livestock Category</t>
    </r>
  </si>
  <si>
    <r>
      <t xml:space="preserve">II.A.ii. Total de Emisiones de Línea Base de Metano Modeladas por los Componentes del Sistema de Manejo de Excretas (S) / </t>
    </r>
    <r>
      <rPr>
        <b/>
        <i/>
        <sz val="10"/>
        <rFont val="Arial"/>
        <family val="2"/>
      </rPr>
      <t>Total Modeled Baseline Methane Emissions by Storage/Treatment Component (S)</t>
    </r>
  </si>
  <si>
    <r>
      <t xml:space="preserve">Componente de almacenamiento / </t>
    </r>
    <r>
      <rPr>
        <b/>
        <i/>
        <sz val="10"/>
        <rFont val="Arial"/>
        <family val="2"/>
      </rPr>
      <t>Storage component (S)</t>
    </r>
  </si>
  <si>
    <r>
      <t xml:space="preserve">II.A.iii.  Total de Emisiones de Metano de la Línea Base / </t>
    </r>
    <r>
      <rPr>
        <b/>
        <i/>
        <sz val="10"/>
        <rFont val="Arial"/>
        <family val="2"/>
      </rPr>
      <t>Total Modeled Baseline Emissions</t>
    </r>
  </si>
  <si>
    <r>
      <t>II.A.iv. Total de Emisiones de CO2 de la Línea Base CO</t>
    </r>
    <r>
      <rPr>
        <b/>
        <vertAlign val="subscript"/>
        <sz val="10"/>
        <rFont val="Arial"/>
        <family val="2"/>
      </rPr>
      <t xml:space="preserve">2(MSC) </t>
    </r>
    <r>
      <rPr>
        <b/>
        <sz val="10"/>
        <rFont val="Arial"/>
        <family val="2"/>
      </rPr>
      <t xml:space="preserve">(CO2e) / Total Baseline Carbon Dioxide Emissions </t>
    </r>
    <r>
      <rPr>
        <b/>
        <i/>
        <sz val="10"/>
        <rFont val="Arial"/>
        <family val="2"/>
      </rPr>
      <t>CO2(MSC) (CO2e)</t>
    </r>
  </si>
  <si>
    <r>
      <t xml:space="preserve">II.B. Total de Emisiones del Proyecto / </t>
    </r>
    <r>
      <rPr>
        <b/>
        <i/>
        <u/>
        <sz val="12"/>
        <rFont val="Arial"/>
        <family val="2"/>
      </rPr>
      <t>Total Project Emissions</t>
    </r>
  </si>
  <si>
    <r>
      <t xml:space="preserve">II.B.i. Emisiones de Metano del Sistema de Control de Biogás (SCB) / </t>
    </r>
    <r>
      <rPr>
        <b/>
        <i/>
        <sz val="10"/>
        <rFont val="Arial"/>
        <family val="2"/>
      </rPr>
      <t>Project Methane Emissions from the Biogas Control System (BSC)</t>
    </r>
  </si>
  <si>
    <r>
      <t>IIB.ii. Emisión de Metano por un Evento de Ventilación /</t>
    </r>
    <r>
      <rPr>
        <b/>
        <i/>
        <sz val="10"/>
        <rFont val="Arial"/>
        <family val="2"/>
      </rPr>
      <t xml:space="preserve"> Methane Emissions from Venting Events</t>
    </r>
  </si>
  <si>
    <r>
      <t xml:space="preserve">II.B.iii. Emisiones de Metano del Estanque Efluente del sistema de Control del Biogás / </t>
    </r>
    <r>
      <rPr>
        <b/>
        <i/>
        <sz val="10"/>
        <rFont val="Arial"/>
        <family val="2"/>
      </rPr>
      <t>Project Methane Emissions from Effluent Treatment</t>
    </r>
  </si>
  <si>
    <r>
      <t xml:space="preserve">II.B.iv.  Emisiones de Metano del Proyecto de Fuentes Relacionadas con Sistemas de Control que no sean de Control de Biogás / </t>
    </r>
    <r>
      <rPr>
        <b/>
        <i/>
        <sz val="10"/>
        <rFont val="Arial"/>
        <family val="2"/>
      </rPr>
      <t>Project Methane Emissions from Non-BCS-Related Sources</t>
    </r>
  </si>
  <si>
    <r>
      <t xml:space="preserve">II.B.v. Total de Emisiones de Metano del Proyecto / </t>
    </r>
    <r>
      <rPr>
        <b/>
        <i/>
        <sz val="10"/>
        <rFont val="Arial"/>
        <family val="2"/>
      </rPr>
      <t>Total Project Emissions</t>
    </r>
  </si>
  <si>
    <r>
      <t>II.B.vi. Total de emisiones de Dioxido de Carbono del Proyecto CO</t>
    </r>
    <r>
      <rPr>
        <b/>
        <vertAlign val="subscript"/>
        <sz val="10"/>
        <rFont val="Arial"/>
        <family val="2"/>
      </rPr>
      <t xml:space="preserve">2(MSC) </t>
    </r>
    <r>
      <rPr>
        <b/>
        <sz val="10"/>
        <rFont val="Arial"/>
        <family val="2"/>
      </rPr>
      <t xml:space="preserve">(CO2e) / </t>
    </r>
    <r>
      <rPr>
        <b/>
        <i/>
        <sz val="10"/>
        <rFont val="Arial"/>
        <family val="2"/>
      </rPr>
      <t>Total Project Carbon Dioxide Emissions</t>
    </r>
  </si>
  <si>
    <r>
      <t xml:space="preserve">II.C. Comparación de las Reducciones de Metano Modeladas con la Cantidad Total de Metano Destruido </t>
    </r>
    <r>
      <rPr>
        <b/>
        <i/>
        <u/>
        <sz val="12"/>
        <rFont val="Arial"/>
        <family val="2"/>
      </rPr>
      <t>/ Comparison of the Modeled Methane Reductions with the Total Amount of Methane Destroyed</t>
    </r>
  </si>
  <si>
    <r>
      <t xml:space="preserve">Nota: Las reducciones totales de metano (abajo) será igual al menor de los dos valores anteriores. 
</t>
    </r>
    <r>
      <rPr>
        <b/>
        <i/>
        <sz val="10"/>
        <rFont val="Arial"/>
        <family val="2"/>
      </rPr>
      <t>Note: Total methane emission reductions (below) will be equal to the lesser of the two values above.</t>
    </r>
  </si>
  <si>
    <r>
      <t xml:space="preserve">Total de Reducciones de Metano / </t>
    </r>
    <r>
      <rPr>
        <b/>
        <i/>
        <sz val="10"/>
        <rFont val="Arial"/>
        <family val="2"/>
      </rPr>
      <t xml:space="preserve">Total Methane Reductions </t>
    </r>
    <r>
      <rPr>
        <b/>
        <sz val="10"/>
        <rFont val="Arial"/>
        <family val="2"/>
      </rPr>
      <t xml:space="preserve">(MT) = </t>
    </r>
  </si>
  <si>
    <r>
      <t xml:space="preserve">Total de Reducciones de Metano / </t>
    </r>
    <r>
      <rPr>
        <b/>
        <i/>
        <sz val="10"/>
        <rFont val="Arial"/>
        <family val="2"/>
      </rPr>
      <t>Total Methane Reductions</t>
    </r>
    <r>
      <rPr>
        <b/>
        <sz val="10"/>
        <rFont val="Arial"/>
        <family val="2"/>
      </rPr>
      <t xml:space="preserve"> (CO2e) = </t>
    </r>
  </si>
  <si>
    <r>
      <t xml:space="preserve">II.D. Total de Reducción de Emisiones (CH4 y CO2) / </t>
    </r>
    <r>
      <rPr>
        <b/>
        <i/>
        <u/>
        <sz val="12"/>
        <rFont val="Arial"/>
        <family val="2"/>
      </rPr>
      <t>Total Emission Reductions (CH4 and CO2)</t>
    </r>
  </si>
  <si>
    <r>
      <t xml:space="preserve">Total de Reducción de Emisiones (MT CO2e/año) / </t>
    </r>
    <r>
      <rPr>
        <b/>
        <i/>
        <sz val="10"/>
        <rFont val="Arial"/>
        <family val="2"/>
      </rPr>
      <t xml:space="preserve">Total Emission Reductions </t>
    </r>
    <r>
      <rPr>
        <b/>
        <sz val="10"/>
        <rFont val="Arial"/>
        <family val="2"/>
      </rPr>
      <t xml:space="preserve">= </t>
    </r>
  </si>
  <si>
    <r>
      <t xml:space="preserve">Notas / comentarios del Usuario:
</t>
    </r>
    <r>
      <rPr>
        <i/>
        <sz val="10"/>
        <rFont val="Arial"/>
        <family val="2"/>
      </rPr>
      <t>User Notes / Comments</t>
    </r>
  </si>
  <si>
    <r>
      <t xml:space="preserve">Fecha de inicio del período de información / </t>
    </r>
    <r>
      <rPr>
        <b/>
        <i/>
        <sz val="10"/>
        <rFont val="Arial"/>
        <family val="2"/>
      </rPr>
      <t>Reporting Period Start Date</t>
    </r>
  </si>
  <si>
    <r>
      <t xml:space="preserve">Fecha de finalización del periodo de informe fecha / </t>
    </r>
    <r>
      <rPr>
        <b/>
        <i/>
        <sz val="10"/>
        <rFont val="Arial"/>
        <family val="2"/>
      </rPr>
      <t>Reporting Period End Date</t>
    </r>
  </si>
  <si>
    <r>
      <t xml:space="preserve">Amarillo / </t>
    </r>
    <r>
      <rPr>
        <b/>
        <i/>
        <sz val="10"/>
        <rFont val="Arial"/>
        <family val="2"/>
      </rPr>
      <t>Yellow</t>
    </r>
  </si>
  <si>
    <r>
      <t xml:space="preserve">Naranja </t>
    </r>
    <r>
      <rPr>
        <b/>
        <i/>
        <sz val="10"/>
        <rFont val="Arial"/>
        <family val="2"/>
      </rPr>
      <t xml:space="preserve">/ </t>
    </r>
    <r>
      <rPr>
        <b/>
        <sz val="10"/>
        <rFont val="Arial"/>
        <family val="2"/>
      </rPr>
      <t>Orange</t>
    </r>
  </si>
  <si>
    <r>
      <t xml:space="preserve">Gris / </t>
    </r>
    <r>
      <rPr>
        <b/>
        <i/>
        <sz val="10"/>
        <rFont val="Arial"/>
        <family val="2"/>
      </rPr>
      <t>Grey</t>
    </r>
  </si>
  <si>
    <r>
      <t xml:space="preserve">Amarillo pálido / </t>
    </r>
    <r>
      <rPr>
        <b/>
        <i/>
        <sz val="10"/>
        <rFont val="Arial"/>
        <family val="2"/>
      </rPr>
      <t>Pale Yellow</t>
    </r>
  </si>
  <si>
    <t>Dominican Republic</t>
  </si>
  <si>
    <r>
      <t xml:space="preserve">Nombre del Operador de la Granja / </t>
    </r>
    <r>
      <rPr>
        <i/>
        <sz val="10"/>
        <rFont val="Arial"/>
        <family val="2"/>
      </rPr>
      <t>Name of the Farm Operator</t>
    </r>
  </si>
  <si>
    <r>
      <t xml:space="preserve">Estado / </t>
    </r>
    <r>
      <rPr>
        <i/>
        <sz val="10"/>
        <rFont val="Arial"/>
        <family val="2"/>
      </rPr>
      <t>State</t>
    </r>
  </si>
  <si>
    <r>
      <t xml:space="preserve">Tamaño Total de la Granja (ha) / </t>
    </r>
    <r>
      <rPr>
        <i/>
        <sz val="10"/>
        <rFont val="Arial"/>
        <family val="2"/>
      </rPr>
      <t>Total Farm Size</t>
    </r>
  </si>
  <si>
    <r>
      <t xml:space="preserve">Total de Población de la Granja / </t>
    </r>
    <r>
      <rPr>
        <i/>
        <sz val="10"/>
        <rFont val="Arial"/>
        <family val="2"/>
      </rPr>
      <t>Total Farm Population</t>
    </r>
  </si>
  <si>
    <r>
      <t>Temperatura Anual Promedio (</t>
    </r>
    <r>
      <rPr>
        <vertAlign val="superscript"/>
        <sz val="10"/>
        <rFont val="Arial"/>
        <family val="2"/>
      </rPr>
      <t>o</t>
    </r>
    <r>
      <rPr>
        <sz val="12"/>
        <color theme="1"/>
        <rFont val="Calibri"/>
        <family val="2"/>
        <scheme val="minor"/>
      </rPr>
      <t>C)</t>
    </r>
    <r>
      <rPr>
        <sz val="10"/>
        <rFont val="Arial"/>
        <family val="2"/>
      </rPr>
      <t xml:space="preserve"> / </t>
    </r>
    <r>
      <rPr>
        <i/>
        <sz val="10"/>
        <rFont val="Arial"/>
        <family val="2"/>
      </rPr>
      <t>Average Annual Temperature (</t>
    </r>
    <r>
      <rPr>
        <i/>
        <vertAlign val="superscript"/>
        <sz val="10"/>
        <rFont val="Arial"/>
        <family val="2"/>
      </rPr>
      <t>o</t>
    </r>
    <r>
      <rPr>
        <i/>
        <sz val="10"/>
        <rFont val="Arial"/>
        <family val="2"/>
      </rPr>
      <t>C)</t>
    </r>
  </si>
  <si>
    <t>Ázua</t>
  </si>
  <si>
    <t>Bahoruco ( Neiba)</t>
  </si>
  <si>
    <t>Barahona</t>
  </si>
  <si>
    <t>Dajabón</t>
  </si>
  <si>
    <t xml:space="preserve"> Duarte ( San Francisco de Macorís)</t>
  </si>
  <si>
    <t xml:space="preserve"> Elías Piña ( Comendador)</t>
  </si>
  <si>
    <t>El Seibo ( Santa Cruz del Seibo)</t>
  </si>
  <si>
    <t>Espaillat ( Moca)</t>
  </si>
  <si>
    <t>Hato Mayor</t>
  </si>
  <si>
    <t>Independencia ( Jimaní)</t>
  </si>
  <si>
    <t xml:space="preserve"> La Altagracia ( Higüey)</t>
  </si>
  <si>
    <t>La Romana</t>
  </si>
  <si>
    <t xml:space="preserve"> La Vega</t>
  </si>
  <si>
    <t>María Trinidad Sánchez ( Nagua)</t>
  </si>
  <si>
    <t>Monseñor Nouel ( Bonao)</t>
  </si>
  <si>
    <t>Monte Cristi</t>
  </si>
  <si>
    <t>Monte Plata</t>
  </si>
  <si>
    <t>Pedernales</t>
  </si>
  <si>
    <t>Peravia ( Baní)</t>
  </si>
  <si>
    <t>Puerto Plata</t>
  </si>
  <si>
    <t xml:space="preserve"> Salcedo</t>
  </si>
  <si>
    <t>Samaná</t>
  </si>
  <si>
    <t>Sánchez Ramírez ( Cotuí)</t>
  </si>
  <si>
    <t>San Cristóbal</t>
  </si>
  <si>
    <t>San José de Ocoa</t>
  </si>
  <si>
    <t>San Juan</t>
  </si>
  <si>
    <t xml:space="preserve"> San Pedro de Macorís</t>
  </si>
  <si>
    <t>Santiago</t>
  </si>
  <si>
    <t>Santiago Rodríguez ( Sabaneta)</t>
  </si>
  <si>
    <t xml:space="preserve"> Santo Domingo</t>
  </si>
  <si>
    <t>Valverde ( Mao)</t>
  </si>
  <si>
    <t>Seleccione de la lista</t>
  </si>
  <si>
    <r>
      <t xml:space="preserve">fecha de finalización del periodo de informe fecha / </t>
    </r>
    <r>
      <rPr>
        <i/>
        <sz val="10"/>
        <rFont val="Arial"/>
        <family val="2"/>
      </rPr>
      <t>Reporting Period End Date</t>
    </r>
  </si>
  <si>
    <r>
      <t xml:space="preserve">El VS del año anterior ha sido traído al año en curso? / </t>
    </r>
    <r>
      <rPr>
        <i/>
        <sz val="10"/>
        <rFont val="Arial"/>
        <family val="2"/>
      </rPr>
      <t>Was the previous year's VS carried over to the current year?</t>
    </r>
  </si>
  <si>
    <r>
      <t xml:space="preserve">Mes
</t>
    </r>
    <r>
      <rPr>
        <b/>
        <i/>
        <sz val="10"/>
        <rFont val="Arial"/>
        <family val="2"/>
      </rPr>
      <t>Month</t>
    </r>
  </si>
  <si>
    <r>
      <t>Temperatura Promedio (</t>
    </r>
    <r>
      <rPr>
        <b/>
        <vertAlign val="superscript"/>
        <sz val="10"/>
        <rFont val="Arial"/>
        <family val="2"/>
      </rPr>
      <t>o</t>
    </r>
    <r>
      <rPr>
        <b/>
        <sz val="10"/>
        <rFont val="Arial"/>
        <family val="2"/>
      </rPr>
      <t xml:space="preserve">C)
</t>
    </r>
    <r>
      <rPr>
        <b/>
        <i/>
        <sz val="10"/>
        <rFont val="Arial"/>
        <family val="2"/>
      </rPr>
      <t>Average Temperature</t>
    </r>
  </si>
  <si>
    <r>
      <t>Reportando este mes?</t>
    </r>
    <r>
      <rPr>
        <b/>
        <vertAlign val="superscript"/>
        <sz val="10"/>
        <rFont val="Arial"/>
        <family val="2"/>
      </rPr>
      <t>2</t>
    </r>
    <r>
      <rPr>
        <b/>
        <sz val="10"/>
        <rFont val="Arial"/>
        <family val="2"/>
      </rPr>
      <t xml:space="preserve">
</t>
    </r>
    <r>
      <rPr>
        <b/>
        <i/>
        <sz val="10"/>
        <rFont val="Arial"/>
        <family val="2"/>
      </rPr>
      <t>Reporting this month?</t>
    </r>
    <r>
      <rPr>
        <b/>
        <sz val="10"/>
        <rFont val="Arial"/>
        <family val="2"/>
      </rPr>
      <t xml:space="preserve">
(1 para sí, 0 para no)</t>
    </r>
  </si>
  <si>
    <r>
      <t xml:space="preserve">Días por mes 
</t>
    </r>
    <r>
      <rPr>
        <b/>
        <i/>
        <sz val="10"/>
        <rFont val="Arial"/>
        <family val="2"/>
      </rPr>
      <t>Days per month</t>
    </r>
  </si>
  <si>
    <r>
      <t>Días que faltan datos de flujo de biogás (que no sean eventos de ventilación)</t>
    </r>
    <r>
      <rPr>
        <b/>
        <vertAlign val="superscript"/>
        <sz val="10"/>
        <rFont val="Arial"/>
        <family val="2"/>
      </rPr>
      <t>2</t>
    </r>
    <r>
      <rPr>
        <b/>
        <sz val="10"/>
        <rFont val="Arial"/>
        <family val="2"/>
      </rPr>
      <t xml:space="preserve">
</t>
    </r>
    <r>
      <rPr>
        <b/>
        <i/>
        <sz val="10"/>
        <rFont val="Arial"/>
        <family val="2"/>
      </rPr>
      <t>Days missing biogas flow data (other than venting events)</t>
    </r>
  </si>
  <si>
    <r>
      <t xml:space="preserve">Días de reporte
</t>
    </r>
    <r>
      <rPr>
        <b/>
        <i/>
        <sz val="10"/>
        <rFont val="Arial"/>
        <family val="2"/>
      </rPr>
      <t>Days Reporting</t>
    </r>
  </si>
  <si>
    <r>
      <rPr>
        <vertAlign val="superscript"/>
        <sz val="10"/>
        <rFont val="Arial"/>
        <family val="2"/>
      </rPr>
      <t>1</t>
    </r>
    <r>
      <rPr>
        <sz val="10"/>
        <rFont val="Arial"/>
        <family val="2"/>
      </rPr>
      <t xml:space="preserve"> Aunque no es común bajo la operación de digestor normal, es posible que un evento de ventilación pueda ocurrir debido a una falla catastrófica de materiales de cubierta de digestor, el buque digestor o el sistema recolector de gas.  
</t>
    </r>
    <r>
      <rPr>
        <i/>
        <sz val="10"/>
        <rFont val="Arial"/>
        <family val="2"/>
      </rPr>
      <t>Although not common under normal digester operation, it is possible that a venting event could occur due to catasrophic failure of digester cover materials, the digester vessel or the gas collection system</t>
    </r>
  </si>
  <si>
    <r>
      <t xml:space="preserve">III.C.  Categoría de Ganado / </t>
    </r>
    <r>
      <rPr>
        <b/>
        <i/>
        <sz val="12"/>
        <rFont val="Arial"/>
        <family val="2"/>
      </rPr>
      <t>Livestock Category</t>
    </r>
  </si>
  <si>
    <r>
      <t xml:space="preserve">Categoría de Ganado (L)
</t>
    </r>
    <r>
      <rPr>
        <b/>
        <i/>
        <sz val="10"/>
        <rFont val="Arial"/>
        <family val="2"/>
      </rPr>
      <t xml:space="preserve">Livestock Category </t>
    </r>
  </si>
  <si>
    <r>
      <t xml:space="preserve">Identificador unico 
</t>
    </r>
    <r>
      <rPr>
        <b/>
        <i/>
        <sz val="10"/>
        <rFont val="Arial"/>
        <family val="2"/>
      </rPr>
      <t>Unique identifier</t>
    </r>
  </si>
  <si>
    <r>
      <t>Peso</t>
    </r>
    <r>
      <rPr>
        <b/>
        <vertAlign val="subscript"/>
        <sz val="10"/>
        <rFont val="Arial"/>
        <family val="2"/>
      </rPr>
      <t>L</t>
    </r>
    <r>
      <rPr>
        <b/>
        <sz val="10"/>
        <rFont val="Arial"/>
        <family val="2"/>
      </rPr>
      <t xml:space="preserve"> en sitio</t>
    </r>
    <r>
      <rPr>
        <b/>
        <vertAlign val="subscript"/>
        <sz val="10"/>
        <rFont val="Arial"/>
        <family val="2"/>
      </rPr>
      <t xml:space="preserve"> </t>
    </r>
    <r>
      <rPr>
        <b/>
        <sz val="10"/>
        <rFont val="Arial"/>
        <family val="2"/>
      </rPr>
      <t xml:space="preserve">(kg)
</t>
    </r>
    <r>
      <rPr>
        <b/>
        <i/>
        <sz val="10"/>
        <rFont val="Arial"/>
        <family val="2"/>
      </rPr>
      <t>Weight on site</t>
    </r>
  </si>
  <si>
    <r>
      <t>Peso</t>
    </r>
    <r>
      <rPr>
        <b/>
        <vertAlign val="subscript"/>
        <sz val="10"/>
        <rFont val="Arial"/>
        <family val="2"/>
      </rPr>
      <t xml:space="preserve">L </t>
    </r>
    <r>
      <rPr>
        <b/>
        <sz val="10"/>
        <rFont val="Arial"/>
        <family val="2"/>
      </rPr>
      <t xml:space="preserve">(kg)
</t>
    </r>
    <r>
      <rPr>
        <b/>
        <i/>
        <sz val="10"/>
        <rFont val="Arial"/>
        <family val="2"/>
      </rPr>
      <t>Weight</t>
    </r>
  </si>
  <si>
    <r>
      <t xml:space="preserve">Poblacion 1
</t>
    </r>
    <r>
      <rPr>
        <i/>
        <sz val="10"/>
        <rFont val="Arial"/>
        <family val="2"/>
      </rPr>
      <t>Population 1</t>
    </r>
  </si>
  <si>
    <r>
      <t xml:space="preserve">Poblacion 2
</t>
    </r>
    <r>
      <rPr>
        <i/>
        <sz val="10"/>
        <rFont val="Arial"/>
        <family val="2"/>
      </rPr>
      <t>Population 2</t>
    </r>
  </si>
  <si>
    <r>
      <t xml:space="preserve">Poblacion 3
</t>
    </r>
    <r>
      <rPr>
        <i/>
        <sz val="10"/>
        <rFont val="Arial"/>
        <family val="2"/>
      </rPr>
      <t>Population 3</t>
    </r>
  </si>
  <si>
    <r>
      <t xml:space="preserve">Poblacion 4
</t>
    </r>
    <r>
      <rPr>
        <i/>
        <sz val="10"/>
        <rFont val="Arial"/>
        <family val="2"/>
      </rPr>
      <t>Population</t>
    </r>
    <r>
      <rPr>
        <sz val="10"/>
        <rFont val="Arial"/>
        <family val="2"/>
      </rPr>
      <t xml:space="preserve"> 4</t>
    </r>
  </si>
  <si>
    <r>
      <t xml:space="preserve">Poblacion 5
</t>
    </r>
    <r>
      <rPr>
        <i/>
        <sz val="10"/>
        <rFont val="Arial"/>
        <family val="2"/>
      </rPr>
      <t>Population</t>
    </r>
    <r>
      <rPr>
        <sz val="10"/>
        <rFont val="Arial"/>
        <family val="2"/>
      </rPr>
      <t xml:space="preserve"> 5</t>
    </r>
  </si>
  <si>
    <r>
      <t xml:space="preserve">Poblacion 6
</t>
    </r>
    <r>
      <rPr>
        <i/>
        <sz val="10"/>
        <rFont val="Arial"/>
        <family val="2"/>
      </rPr>
      <t>Population</t>
    </r>
    <r>
      <rPr>
        <sz val="10"/>
        <rFont val="Arial"/>
        <family val="2"/>
      </rPr>
      <t xml:space="preserve"> 6</t>
    </r>
  </si>
  <si>
    <r>
      <t xml:space="preserve">Poblacion 7
</t>
    </r>
    <r>
      <rPr>
        <i/>
        <sz val="10"/>
        <rFont val="Arial"/>
        <family val="2"/>
      </rPr>
      <t>Population</t>
    </r>
    <r>
      <rPr>
        <sz val="10"/>
        <rFont val="Arial"/>
        <family val="2"/>
      </rPr>
      <t xml:space="preserve"> 7</t>
    </r>
  </si>
  <si>
    <r>
      <t xml:space="preserve">Poblacion 10
</t>
    </r>
    <r>
      <rPr>
        <i/>
        <sz val="10"/>
        <rFont val="Arial"/>
        <family val="2"/>
      </rPr>
      <t>Population 10</t>
    </r>
  </si>
  <si>
    <r>
      <t xml:space="preserve">Poblacion 11
</t>
    </r>
    <r>
      <rPr>
        <i/>
        <sz val="10"/>
        <rFont val="Arial"/>
        <family val="2"/>
      </rPr>
      <t>Population 11</t>
    </r>
  </si>
  <si>
    <r>
      <t xml:space="preserve">Poblacion 12
</t>
    </r>
    <r>
      <rPr>
        <i/>
        <sz val="10"/>
        <rFont val="Arial"/>
        <family val="2"/>
      </rPr>
      <t>Population 12</t>
    </r>
  </si>
  <si>
    <r>
      <t xml:space="preserve">Poblacion 14
</t>
    </r>
    <r>
      <rPr>
        <i/>
        <sz val="10"/>
        <rFont val="Arial"/>
        <family val="2"/>
      </rPr>
      <t>Population 14</t>
    </r>
  </si>
  <si>
    <r>
      <t xml:space="preserve">Poblacion 15
</t>
    </r>
    <r>
      <rPr>
        <i/>
        <sz val="10"/>
        <rFont val="Arial"/>
        <family val="2"/>
      </rPr>
      <t>Population 15</t>
    </r>
  </si>
  <si>
    <r>
      <t xml:space="preserve">Poblacion 13
</t>
    </r>
    <r>
      <rPr>
        <i/>
        <sz val="10"/>
        <rFont val="Arial"/>
        <family val="2"/>
      </rPr>
      <t>Population 13</t>
    </r>
  </si>
  <si>
    <r>
      <t xml:space="preserve">Poblacion 8
</t>
    </r>
    <r>
      <rPr>
        <i/>
        <sz val="10"/>
        <rFont val="Arial"/>
        <family val="2"/>
      </rPr>
      <t>Population</t>
    </r>
    <r>
      <rPr>
        <sz val="10"/>
        <rFont val="Arial"/>
        <family val="2"/>
      </rPr>
      <t xml:space="preserve"> 8</t>
    </r>
  </si>
  <si>
    <r>
      <t xml:space="preserve">Poblacion 9
</t>
    </r>
    <r>
      <rPr>
        <i/>
        <sz val="10"/>
        <rFont val="Arial"/>
        <family val="2"/>
      </rPr>
      <t>Population</t>
    </r>
    <r>
      <rPr>
        <sz val="10"/>
        <rFont val="Arial"/>
        <family val="2"/>
      </rPr>
      <t xml:space="preserve"> 9</t>
    </r>
  </si>
  <si>
    <r>
      <t>Introduzca las temperaturas medias ambientales de cada mes.</t>
    </r>
    <r>
      <rPr>
        <sz val="10"/>
        <color rgb="FFFF0000"/>
        <rFont val="Arial"/>
        <family val="2"/>
      </rPr>
      <t xml:space="preserve"> Introduzca</t>
    </r>
    <r>
      <rPr>
        <b/>
        <sz val="10"/>
        <color rgb="FFFF0000"/>
        <rFont val="Arial"/>
        <family val="2"/>
      </rPr>
      <t xml:space="preserve"> un 1 en la columna D por cada mes que usted está reportando reducciones de emisiones, e ingresar un 0 por cada mes que no está reportando.</t>
    </r>
    <r>
      <rPr>
        <sz val="10"/>
        <color rgb="FFFF0000"/>
        <rFont val="Arial"/>
        <family val="2"/>
      </rPr>
      <t xml:space="preserve"> </t>
    </r>
    <r>
      <rPr>
        <sz val="10"/>
        <rFont val="Arial"/>
        <family val="2"/>
      </rPr>
      <t>Si le faltan los datos de flujo de biogás durante cualquier mes que está reportando, introduzca el número de días (puede ser una fracción) en la columna F.</t>
    </r>
    <r>
      <rPr>
        <sz val="10"/>
        <color rgb="FFFF0000"/>
        <rFont val="Arial"/>
        <family val="2"/>
      </rPr>
      <t xml:space="preserve"> Esto no es para ser utilizado para eventos de ventilación</t>
    </r>
    <r>
      <rPr>
        <vertAlign val="superscript"/>
        <sz val="10"/>
        <color rgb="FFFF0000"/>
        <rFont val="Arial"/>
        <family val="2"/>
      </rPr>
      <t>1</t>
    </r>
    <r>
      <rPr>
        <sz val="10"/>
        <color rgb="FFFF0000"/>
        <rFont val="Arial"/>
        <family val="2"/>
      </rPr>
      <t xml:space="preserve">. 
</t>
    </r>
    <r>
      <rPr>
        <i/>
        <sz val="10"/>
        <rFont val="Arial"/>
        <family val="2"/>
      </rPr>
      <t xml:space="preserve">Enter the average ambient temperatures for each month below. </t>
    </r>
    <r>
      <rPr>
        <i/>
        <sz val="10"/>
        <color rgb="FFFF0000"/>
        <rFont val="Arial"/>
        <family val="2"/>
      </rPr>
      <t>Put 1 in column D for each month that you are reporting emission reductions, and put 0 for each month you are not reporting</t>
    </r>
    <r>
      <rPr>
        <i/>
        <sz val="10"/>
        <rFont val="Arial"/>
        <family val="2"/>
      </rPr>
      <t>. If your reporting period begins or ends mid-month, or if you are missing biogas flow data during any month you are reporting, enter the number of days (may be a fraction) in column F.</t>
    </r>
    <r>
      <rPr>
        <i/>
        <sz val="10"/>
        <color rgb="FFFF0000"/>
        <rFont val="Arial"/>
        <family val="2"/>
      </rPr>
      <t xml:space="preserve"> This is not to be used for venting events.</t>
    </r>
  </si>
  <si>
    <r>
      <t xml:space="preserve">Enumerar las categorías de ganado específicos del sitio y la masa media correspondiente en los campos amarillos. Haga una lista del tipo de ganado por orden de dominancia (es decir, la categoría con la mayor población debe aparecer en primer lugar). Si cuenta con los datos de la masa animal promedio para la categoría de ganado “L”, ingrese los valores en la Columna C de la siguiente tabla. Si no cuenta con los datos, se usarán automáticamente los valores por defecto de la masa de media típica promedio (MTP) de la Hoja de Trabajo XIV, Tabla XIV.B. 
</t>
    </r>
    <r>
      <rPr>
        <i/>
        <sz val="10"/>
        <rFont val="Arial"/>
        <family val="2"/>
      </rPr>
      <t xml:space="preserve">
List the site-specific livestock categories and the corresponding average mass in the yellow fields. List the livestock type in order of dominance (i.e., the category with the largest population should be listed first). If you have the average animal mass data for livestock category "L", enter the values in Column C of the following table. If you do not have the data, the default values of the average typical mean mass (MTP) from Worksheet XIV, Table XIV.B will be used automatically. 	</t>
    </r>
    <r>
      <rPr>
        <sz val="10"/>
        <rFont val="Arial"/>
        <family val="2"/>
      </rPr>
      <t xml:space="preserve">
Translated with www.DeepL.com/Translator (free version)</t>
    </r>
  </si>
  <si>
    <t>Categoría(s) de Ganado / Livestock Categories</t>
  </si>
  <si>
    <r>
      <t xml:space="preserve">III.D.  Población del Ganado / </t>
    </r>
    <r>
      <rPr>
        <b/>
        <i/>
        <sz val="12"/>
        <rFont val="Arial"/>
        <family val="2"/>
      </rPr>
      <t>Livestock Population</t>
    </r>
  </si>
  <si>
    <r>
      <t>Ingrese la población mensual para cada categoría de ganado enumerdas a continuación (PL).</t>
    </r>
    <r>
      <rPr>
        <sz val="10"/>
        <color indexed="10"/>
        <rFont val="Arial"/>
        <family val="2"/>
      </rPr>
      <t xml:space="preserve"> </t>
    </r>
    <r>
      <rPr>
        <sz val="10"/>
        <color rgb="FFFF0000"/>
        <rFont val="Arial"/>
        <family val="2"/>
      </rPr>
      <t>Si es el primer año de funcionamiento del digestor, complete los datos de población  a partir del mes en que comenzó a funcionar el digestor. Si el reporte de reducciones se realiza por un período sub-anual y no es el primer año de operación, complete los datos de población para todos los meses anteriores hasta el fin del último mes que se reporta, deje los meses restantes en blanco.</t>
    </r>
    <r>
      <rPr>
        <sz val="10"/>
        <rFont val="Arial"/>
        <family val="2"/>
      </rPr>
      <t xml:space="preserve">
</t>
    </r>
    <r>
      <rPr>
        <i/>
        <sz val="10"/>
        <rFont val="Arial"/>
        <family val="2"/>
      </rPr>
      <t xml:space="preserve">Enter the monthly population for each livestock category listed below (PL). </t>
    </r>
    <r>
      <rPr>
        <i/>
        <sz val="10"/>
        <color rgb="FFFF0000"/>
        <rFont val="Arial"/>
        <family val="2"/>
      </rPr>
      <t>If this is the first year of digester operation, complete the population data beginning with the month the digester began operation. If reporting reductions for a sub-annual period and it is not the first year of operation, complete the population data for all previous months through the end of the last month being reported, leave the remaining months blank.</t>
    </r>
  </si>
  <si>
    <r>
      <t xml:space="preserve">Mes 
</t>
    </r>
    <r>
      <rPr>
        <b/>
        <i/>
        <sz val="10"/>
        <rFont val="Arial"/>
        <family val="2"/>
      </rPr>
      <t>Month</t>
    </r>
  </si>
  <si>
    <t>Notas/comentarios del Usuario:
User Notes/Comments:</t>
  </si>
  <si>
    <r>
      <t xml:space="preserve">Notas/comentarios del Usuario:
</t>
    </r>
    <r>
      <rPr>
        <i/>
        <sz val="10"/>
        <rFont val="Arial"/>
        <family val="2"/>
      </rPr>
      <t>User Notes/Comments:</t>
    </r>
  </si>
  <si>
    <r>
      <t xml:space="preserve">Categoría de Ganado </t>
    </r>
    <r>
      <rPr>
        <b/>
        <i/>
        <sz val="10"/>
        <rFont val="Arial"/>
        <family val="2"/>
      </rPr>
      <t>L</t>
    </r>
    <r>
      <rPr>
        <b/>
        <sz val="10"/>
        <rFont val="Arial"/>
        <family val="2"/>
      </rPr>
      <t xml:space="preserve">
</t>
    </r>
    <r>
      <rPr>
        <b/>
        <i/>
        <sz val="10"/>
        <rFont val="Arial"/>
        <family val="2"/>
      </rPr>
      <t>Livestock Category</t>
    </r>
  </si>
  <si>
    <t>III.E. Daily Volatile Solids for all Livestock Categories of Lookup Tables (Worksheet XIV, Table XIV.C)</t>
  </si>
  <si>
    <t>Complete the field for volatile solids (VS) (column C) for each dominant livestock category. Use the default VS values provided on sheet XIV, Table XIV.C. The VS values in column C are automatically converted from units of (kg/day/100kg) to (kg / day / animal) in column D.</t>
  </si>
  <si>
    <t>III.F. Maximum Methane Potential by Livestock Category</t>
  </si>
  <si>
    <t>The default values of the maximum methane production capacity (Bo) for each livestock category are automatically obtained from Sheet XIV, Table XIV.C.</t>
  </si>
  <si>
    <t>III.G. Manure Storage / Treatment Systems and Components for Baseline Calculation What systems were in place prior to the Project?</t>
  </si>
  <si>
    <t>Enter on-site storage components in the yellow fields. Refer to Worksheet XIV, Table XIV.A for descriptions of storage/treatment system components. Storage / treatment components of categories that are not applicable should be left blank. If solids separation was performed prior to lagoon entry, then the storage/treatment system for the solids removed should also be selected.</t>
  </si>
  <si>
    <r>
      <t xml:space="preserve">Sistema Anaeróbico de Almacenamiento / Tratamiento(s)
</t>
    </r>
    <r>
      <rPr>
        <b/>
        <i/>
        <sz val="10"/>
        <rFont val="Arial"/>
        <family val="2"/>
      </rPr>
      <t>Anaerobic Storage / Treatment System(s)</t>
    </r>
  </si>
  <si>
    <r>
      <t xml:space="preserve">Otros Sistemas de Almacenamiento / Tratamiento(s)
</t>
    </r>
    <r>
      <rPr>
        <b/>
        <i/>
        <sz val="10"/>
        <rFont val="Arial"/>
        <family val="2"/>
      </rPr>
      <t>Other Storage / Treatment System(s)</t>
    </r>
  </si>
  <si>
    <t>III.H. How often is sludge emptied and cleaned from the anaerobic storage/treatment system in the Baseline Scenario (per year), and generally in what month(s)?</t>
  </si>
  <si>
    <t>The data in Column G of Worksheet V will be automatically reduced by the months in which the anaerobic system is completely drained and the sludge accumulation has been removed.</t>
  </si>
  <si>
    <t>Sistema Anaeróbico de Almacenamiento / Tratamiento(s)
Anaerobic Storage / Treatment System(s)</t>
  </si>
  <si>
    <r>
      <t xml:space="preserve">Tiempo de retención menor a 30 días?
</t>
    </r>
    <r>
      <rPr>
        <b/>
        <i/>
        <sz val="10"/>
        <rFont val="Arial"/>
        <family val="2"/>
      </rPr>
      <t>Retention time less than 30 days?</t>
    </r>
  </si>
  <si>
    <r>
      <t xml:space="preserve">1er mes de vaciado y limpiado del sistema
</t>
    </r>
    <r>
      <rPr>
        <b/>
        <i/>
        <sz val="10"/>
        <rFont val="Arial"/>
        <family val="2"/>
      </rPr>
      <t>1st month of emptying and cleaning the system</t>
    </r>
  </si>
  <si>
    <r>
      <t xml:space="preserve">2do mes de vaciado y limpiado del sistema
</t>
    </r>
    <r>
      <rPr>
        <b/>
        <i/>
        <sz val="10"/>
        <rFont val="Arial"/>
        <family val="2"/>
      </rPr>
      <t>2nd month of emptying and cleaning the system</t>
    </r>
  </si>
  <si>
    <r>
      <t xml:space="preserve">3er mes de vaciado y limpiado del sistema
</t>
    </r>
    <r>
      <rPr>
        <b/>
        <i/>
        <sz val="10"/>
        <rFont val="Arial"/>
        <family val="2"/>
      </rPr>
      <t>3rd month of emptying and cleaning the system</t>
    </r>
  </si>
  <si>
    <r>
      <t xml:space="preserve">Número de veces al año de remoción de efluentes y/o sólidos de la laguna
</t>
    </r>
    <r>
      <rPr>
        <b/>
        <i/>
        <sz val="10"/>
        <rFont val="Arial"/>
        <family val="2"/>
      </rPr>
      <t>Number of times per year of effluent and/or solids removal from the lagoon</t>
    </r>
  </si>
  <si>
    <t xml:space="preserve">III.I. Methane Conversion Factor (MCF) for "Other Storage/Treatment Systems". </t>
  </si>
  <si>
    <t>Enter the MCF value for the lagoon and pond system storage components in the orange fields. Refer to Worksheet XIV, Table XIV.D, for default conversion factors for methane and excreta handling system components and average temperature of storage components.  Categories that are not applicable should be left blank.</t>
  </si>
  <si>
    <r>
      <t xml:space="preserve">Otros Sistemas de Almacenamiento/Tratamiento 
</t>
    </r>
    <r>
      <rPr>
        <b/>
        <i/>
        <sz val="10"/>
        <rFont val="Arial"/>
        <family val="2"/>
      </rPr>
      <t>Other Storage/Treatment Systems</t>
    </r>
  </si>
  <si>
    <r>
      <t xml:space="preserve">Nota para el Usuario: El metano de la laguna anaeróbica y/o estanque de almacenamiento (sistema de suspensión líquida) se calcula en la Hoja de Trabajo V.
</t>
    </r>
    <r>
      <rPr>
        <b/>
        <i/>
        <sz val="10"/>
        <rFont val="Arial"/>
        <family val="2"/>
      </rPr>
      <t>Note to User: Methane from the anaerobic lagoon and/or storage pond (liquid suspension system) is calculated in Worksheet V.</t>
    </r>
  </si>
  <si>
    <t>III.J. Fraction of Cattle Category L manure that is stored/treated in system S (MSI, s) for Baseline calculation. Where was the pre-project manure directed?</t>
  </si>
  <si>
    <t>If solids separation occurred prior to manure placement in the baseline lagoon, then the fraction of VS that was separated through the separator or settling ponds should be estimated and subtracted from the total manure fraction sent to the baseline lagoon. It should be assumed that the fraction of VS that was removed is directed to its own treatment/storage system.</t>
  </si>
  <si>
    <t>Sistema de Almacenamiento / Tratamiento No-Anaeróbico(s)
Non-Anaerobic Storage / Treatment System(s)</t>
  </si>
  <si>
    <r>
      <t xml:space="preserve">Notas/comentarios del Usuario:
</t>
    </r>
    <r>
      <rPr>
        <i/>
        <sz val="10"/>
        <rFont val="Arial"/>
        <family val="2"/>
      </rPr>
      <t>User notes/comments:</t>
    </r>
  </si>
  <si>
    <t xml:space="preserve">III.K. IV.G. Carbon Dioxide Baseline Emissions Input Data [Protocol - Equation 5.11] III.K. IV.G. Carbon Dioxide Baseline Emissions Input Data [Protocol - Equation 5.11] III.  </t>
  </si>
  <si>
    <t>XV. Note to User: Calculation formulas and descriptions are provided on sheet XV.</t>
  </si>
  <si>
    <t xml:space="preserve">III.K.i. Baseline Carbon Dioxide Emissions Input Data from Mobile Combustion Sources: CO2, Baseline MSC  </t>
  </si>
  <si>
    <r>
      <t xml:space="preserve">Fuente Móvil
</t>
    </r>
    <r>
      <rPr>
        <b/>
        <i/>
        <sz val="10"/>
        <rFont val="Arial"/>
        <family val="2"/>
      </rPr>
      <t>Mobile Source</t>
    </r>
  </si>
  <si>
    <r>
      <t xml:space="preserve">Población anual promedio / </t>
    </r>
    <r>
      <rPr>
        <b/>
        <i/>
        <sz val="10"/>
        <rFont val="Arial"/>
        <family val="2"/>
      </rPr>
      <t>Average Annual Population</t>
    </r>
    <r>
      <rPr>
        <b/>
        <sz val="10"/>
        <rFont val="Arial"/>
        <family val="2"/>
      </rPr>
      <t>:</t>
    </r>
  </si>
  <si>
    <r>
      <t xml:space="preserve"> comprobación de datos (debe ser igual a 1) / </t>
    </r>
    <r>
      <rPr>
        <b/>
        <i/>
        <sz val="10"/>
        <rFont val="Arial"/>
        <family val="2"/>
      </rPr>
      <t>Data Check (must equal 1)</t>
    </r>
  </si>
  <si>
    <t>Worksheet XIV: Reference Tables</t>
  </si>
  <si>
    <t>Table XIV.A. Types of waste management systems</t>
  </si>
  <si>
    <t xml:space="preserve">Pasture/Range/Paddock </t>
  </si>
  <si>
    <t>The manure from pasture and range grazing animals is allowed to lie as deposited, and is not managed.</t>
  </si>
  <si>
    <t>Daily spread</t>
  </si>
  <si>
    <t>Manure is routinely removed from a confinement facility and is applied to cropland or pasture within 24 hours of excretion.</t>
  </si>
  <si>
    <t>Solid storage</t>
  </si>
  <si>
    <t>The storage of manure, typically for a period of several months, in unconfined piles or stacks.  Manure is able to be stacked due to the presence of a sufficient amount of bedding material or loss of moisture by evaporation.</t>
  </si>
  <si>
    <t>Solid storage – Covered/compacted</t>
  </si>
  <si>
    <t>Similar to solid storage, but the manure pile is a) covered with a plastic sheet to reduce the surface of manure exposed to air and/or b) compacted to increase the density and reduce the free air space within the material.</t>
  </si>
  <si>
    <t>Solid storage – Bulking agent addition</t>
  </si>
  <si>
    <t>Specific materials (bulking agents) are mixed with the manure to provide structural support. This allows the natural aeration of the pile, thus enhancing decomposition. (e.g., sawdust, straw, coffee husks, maize stover).</t>
  </si>
  <si>
    <t>Solid storage – Additives</t>
  </si>
  <si>
    <t xml:space="preserve">Dry lot </t>
  </si>
  <si>
    <t>A paved or unpaved open confinement area without any significant vegetative cover where accumulating manure may be removed periodically.</t>
  </si>
  <si>
    <t>Liquid/Slurry</t>
  </si>
  <si>
    <t>Manure is stored as excreted or with some minimal addition of water or bedding material in tanks or ponds outside the animal housing. Manure is removed and spread on fields once or more in a calendar year. Manure is agitated before removal from the tank/ponds to ensure that most of the VS are removed from the tank.</t>
  </si>
  <si>
    <t>Uncovered anaerobic lagoon</t>
  </si>
  <si>
    <t>A type of liquid storage system designed and operated to combine waste stabilization and storage. Lagoon supernatant is usually used to remove manure from the associated confinement facilities to the lagoon. Anaerobic lagoons are designed with varying lengths of storage (up to a year or greater), depending on the climate region, the volatile solids loading rate, and other operational factors. The water from the lagoon may be recycled as flush water or used to irrigate and fertilize fields.</t>
  </si>
  <si>
    <t>Pit storage below animal confinements</t>
  </si>
  <si>
    <t>Collection and storage of manure usually with little or no added water typically below a slatted floor in an enclosed animal confinement facility, usually for periods less than one year. Manure may be pumped out of the storage to a secondary storage tank multiple times in one year, or stored and applied directly to fields. It is assumed that VS removal rates on tank emptying are &gt;90%.</t>
  </si>
  <si>
    <t>Digesters of high quality and low leakage</t>
  </si>
  <si>
    <t>Animal manure with and without straw is collected and anaerobically digested in a containment vessel. Co-digestion with other waste or energy crops may occur. Digesters are designed, constructed and operated according to industrial technology standard for waste stabilization by the microbial reduction of complex organic compounds to CO2 and CH4. Biogas is captured and used as a fuel. Digestate is stored either in open storage, in covered storage with no leakage control, or in gas tight storage with gas recovery or flaring.</t>
  </si>
  <si>
    <t>Digesters with high leakage</t>
  </si>
  <si>
    <t>Animal manure with and without straw is collected and anaerobically digested in covered lagoon. Digesters are used for waste stabilization by the microbial reduction of complex organic compounds to CO2 and CH4. Biogas is captured and flared or used as a fuel. After anaerobic digestion, digestate is stored either openly, covered, or gas tightly.</t>
  </si>
  <si>
    <t xml:space="preserve">Burned for fuel </t>
  </si>
  <si>
    <t>The dung and urine are excreted on fields. The sun dried dung cakes are burned for fuel.</t>
  </si>
  <si>
    <t>Cattle and Swine deep bedding</t>
  </si>
  <si>
    <t>As manure accumulates, bedding is continually added to absorb moisture over a production cycle and possibly for as long as 6 to 12 months. This manure management system also is known as a bedded pack manure management system and may be combined with a dry lot or pasture. Manure may undergo periods where animals are present and are actively mixing the manure, or periods in which the pack is undisturbed.</t>
  </si>
  <si>
    <t>In-vessel*</t>
  </si>
  <si>
    <t>Composting, typically in an enclosed channel, with forced aeration and continuous mixing</t>
  </si>
  <si>
    <t>Static pile</t>
  </si>
  <si>
    <t>Composting in piles with forced aeration but no mixing.</t>
  </si>
  <si>
    <t>Intensive windrow*</t>
  </si>
  <si>
    <t>Composting in windrows with regular (at least daily) turning for mixing and aeration.</t>
  </si>
  <si>
    <t>Passive windrow*</t>
  </si>
  <si>
    <t>Composting in windrows with infrequent turning for mixing and aeration.</t>
  </si>
  <si>
    <t>Poultry manure with litter</t>
  </si>
  <si>
    <t>Similar to cattle and swine deep bedding except usually not combined with a dry lot or pasture. Typically used for all poultry breeder flocks, for alternative systems for layers and for the production of meat type chickens (broilers) and other fowl. Litter and manure are left in place with added bedding during the poultry production cycle and cleaned between poultry cycles, typically 5 to 9 weeks in productive systems and greater in lower productivity systems</t>
  </si>
  <si>
    <t>Poultry manure without litter</t>
  </si>
  <si>
    <t>May be similar to open pits in enclosed animal confinement facilities or may be designed and operated to dry the manure as it accumulates. The latter is known as a high-rise manure management system and is a form of passive windrow composting when designed and operated properly. Some intensive poultry farms installed the manure belt under the cage, where the manure is dried inside housing.</t>
  </si>
  <si>
    <t>Aerobic treatment</t>
  </si>
  <si>
    <t>The biological oxidation of manure collected as a liquid with either forced or natural aeration. Natural aeration is limited to aerobic and facultative ponds and wetland systems and is due primarily to photosynthesis. Hence, these systems typically become anoxic during periods without sunlight.</t>
  </si>
  <si>
    <t>Pasto/Pasto/Potrero </t>
  </si>
  <si>
    <t>El estiércol de los animales que pastan en pastos y pastizales se deja reposar tal como se deposita y no se gestiona. </t>
  </si>
  <si>
    <t>Propagación diaria </t>
  </si>
  <si>
    <t>El estiércol se retira de forma rutinaria de una instalación de confinamiento y se aplica a las tierras de cultivo o pasto dentro de las 24 horas posteriores a la excreción. </t>
  </si>
  <si>
    <t>Almacenamiento sólido </t>
  </si>
  <si>
    <t>El almacenamiento de estiércol, típicamente por un período de varios meses, en montones o montones no confinados. El estiércol puede apilarse debido a la presencia de una cantidad suficiente de material de cama o a la pérdida de humedad por evaporación. </t>
  </si>
  <si>
    <t>Almacenamiento sólido – Cubierto/compactado </t>
  </si>
  <si>
    <t>Similar al almacenamiento sólido, pero la pila de estiércol a) se cubre con una lámina de plástico para reducir la superficie de estiércol expuesta al aire y/o b) se compacta para aumentar la densidad y reducir el espacio de aire libre dentro del material. </t>
  </si>
  <si>
    <t>Almacenamiento sólido: adición de agente de carga </t>
  </si>
  <si>
    <t>Los materiales específicos (agentes de carga) se mezclan con el estiércol para proporcionar soporte estructural. Esto permite la aireación natural de la pila, favoreciendo así la descomposición. (p. ej., aserrín, paja, cascarilla de café, rastrojo de maíz). </t>
  </si>
  <si>
    <t>Almacenamiento sólido – Aditivos </t>
  </si>
  <si>
    <r>
      <t>La adición de sustancias específicas a la pila para reducir las emisiones gaseosas. Se ha demostrado que la adición de ciertos compuestos, como atapulgita, diciandiamida o compost maduro, reduce las emisiones de N</t>
    </r>
    <r>
      <rPr>
        <vertAlign val="subscript"/>
        <sz val="8"/>
        <rFont val="Arial"/>
        <family val="2"/>
      </rPr>
      <t>2</t>
    </r>
    <r>
      <rPr>
        <sz val="10"/>
        <rFont val="Arial"/>
        <family val="2"/>
      </rPr>
      <t>O; mientras que el fosfoyeso reduce las emisiones de CH</t>
    </r>
    <r>
      <rPr>
        <vertAlign val="subscript"/>
        <sz val="8"/>
        <rFont val="Arial"/>
        <family val="2"/>
      </rPr>
      <t>4</t>
    </r>
    <r>
      <rPr>
        <sz val="10"/>
        <rFont val="Arial"/>
        <family val="2"/>
      </rPr>
      <t>. </t>
    </r>
  </si>
  <si>
    <t>Lote seco </t>
  </si>
  <si>
    <t>Un área de confinamiento abierta pavimentada o sin pavimentar sin ninguna cubierta vegetal significativa donde el estiércol acumulado puede ser removido periódicamente. </t>
  </si>
  <si>
    <t>Líquido/papilla </t>
  </si>
  <si>
    <t>El estiércol se almacena tal como se excreta o con una mínima adición de agua o material de cama en tanques o estanques fuera del alojamiento de los animales. El estiércol se retira y se esparce en los campos una o más veces en un año calendario. El estiércol se agita antes de sacarlo del tanque/estanques para asegurar que la mayoría de los SV se eliminen del tanque. </t>
  </si>
  <si>
    <t>Laguna anaeróbica descubierta </t>
  </si>
  <si>
    <t>Un tipo de sistema de almacenamiento de líquidos diseñado y operado para combinar la estabilización y el almacenamiento de desechos. El sobrenadante de la laguna generalmente se usa para eliminar el estiércol de las instalaciones de confinamiento asociadas a la laguna. Las lagunas anaeróbicas se diseñan con períodos de almacenamiento variables (hasta un año o más), según la región climática, la tasa de carga de sólidos volátiles y otros factores operativos. El agua de la laguna puede reciclarse como agua de descarga o usarse para regar y fertilizar campos. </t>
  </si>
  <si>
    <t>Almacenamiento en pozos debajo de confinamientos de animales </t>
  </si>
  <si>
    <t>Recolección y almacenamiento de estiércol, generalmente con poca o ninguna agua añadida, generalmente debajo de un piso de rejilla en una instalación de confinamiento de animales cerrada, generalmente por períodos de menos de un año. El estiércol se puede bombear del almacenamiento a un tanque de almacenamiento secundario varias veces en un año, o se puede almacenar y aplicar directamente a los campos. Se supone que las tasas de remoción de VS al vaciar el tanque son &gt;90%. </t>
  </si>
  <si>
    <r>
      <t xml:space="preserve">Digestor anaeróbico 
</t>
    </r>
    <r>
      <rPr>
        <i/>
        <sz val="10"/>
        <color theme="1"/>
        <rFont val="Arial"/>
        <family val="2"/>
      </rPr>
      <t>Anaerobic digester</t>
    </r>
  </si>
  <si>
    <t>Digestores de alta calidad y baja fuga </t>
  </si>
  <si>
    <t>El estiércol animal con y sin paja se recoge y se digiere anaeróbicamente en un recipiente de contención. Puede producirse una codigestión con otros residuos o cultivos energéticos. Los digestores están diseñados, construidos y operados de acuerdo con el estándar de tecnología industrial para la estabilización de desechos mediante la reducción microbiana de compuestos orgánicos complejos a CO2 y CH4. El biogás es capturado y utilizado como combustible. El digestato se almacena en almacenamiento abierto, en almacenamiento cubierto sin control de fugas o en almacenamiento estanco al gas con recuperación de gas o quema en antorcha. </t>
  </si>
  <si>
    <t>Digestores con alta fuga </t>
  </si>
  <si>
    <t>El estiércol animal con y sin paja se recoge y se digiere anaeróbicamente en una laguna cubierta. Los digestores se utilizan para la estabilización de desechos mediante la reducción microbiana de compuestos orgánicos complejos a CO2 y CH4. El biogás se captura y se quema en antorcha o se usa como combustible. Después de la digestión anaeróbica, el digestato se almacena al aire libre, cubierto o herméticamente gasificado. </t>
  </si>
  <si>
    <t>Quemado por combustible </t>
  </si>
  <si>
    <t>El estiércol y la orina se excretan en los campos. Las tortas de estiércol secadas al sol se queman como combustible. </t>
  </si>
  <si>
    <t>Camas profundas para bovinos y porcinos </t>
  </si>
  <si>
    <t>A medida que se acumula el estiércol, se agrega ropa de cama continuamente para absorber la humedad durante un ciclo de producción y posiblemente durante 6 a 12 meses. Este sistema de manejo de estiércol también se conoce como sistema de manejo de estiércol de paquete en camas y se puede combinar con un lote seco o pastura. El estiércol puede pasar por periodos en los que los animales están presentes y están mezclando activamente el estiércol, o periodos en los que la manada no está perturbada. </t>
  </si>
  <si>
    <r>
      <t xml:space="preserve">Compostaje
</t>
    </r>
    <r>
      <rPr>
        <i/>
        <sz val="10"/>
        <color theme="1"/>
        <rFont val="Arial"/>
        <family val="2"/>
      </rPr>
      <t>Composting</t>
    </r>
  </si>
  <si>
    <t>En barco* </t>
  </si>
  <si>
    <t>Compostaje, normalmente en un canal cerrado, con aireación forzada y mezcla continua </t>
  </si>
  <si>
    <t>pila estática </t>
  </si>
  <si>
    <t>Compostaje en pilas con aireación forzada pero sin mezcla. </t>
  </si>
  <si>
    <t>Montón intensivo* </t>
  </si>
  <si>
    <t>Compostaje en hileras con volteo regular (al menos diario) para mezclar y airear. </t>
  </si>
  <si>
    <t>Hilera pasiva* </t>
  </si>
  <si>
    <t>Compostaje en hileras con volteo poco frecuente para mezclar y airear. </t>
  </si>
  <si>
    <t>Estiércol de aves de corral con basura </t>
  </si>
  <si>
    <t>Similar al lecho profundo del ganado vacuno y porcino, excepto que por lo general no se combina con un lote seco o pasto. Normalmente se utiliza para todas las parvadas de reproductoras avícolas, para sistemas alternativos para ponedoras y para la producción de pollos de carne (pollos de engorde) y otras aves. La cama y el estiércol se dejan en su lugar con camas adicionales durante el ciclo de producción avícola y se limpian entre ciclos avícolas, generalmente de 5 a 9 semanas en sistemas productivos y más en sistemas de menor productividad. </t>
  </si>
  <si>
    <t>Estiércol de aves sin cama </t>
  </si>
  <si>
    <t>Pueden ser similares a pozos abiertos en instalaciones de confinamiento de animales cerrados o pueden diseñarse y operarse para secar el estiércol a medida que se acumula. Este último se conoce como un sistema de gestión de estiércol de gran altura y es una forma de compostaje pasivo en hileras cuando se diseña y opera correctamente. Algunas granjas avícolas intensivas instalaron la cinta de estiércol debajo de la jaula, donde el estiércol se seca dentro del alojamiento. </t>
  </si>
  <si>
    <t>Tratamiento aeróbico </t>
  </si>
  <si>
    <t>La oxidación biológica del estiércol recogido como líquido con aireación forzada o natural. La aireación natural se limita a estanques aeróbicos y facultativos y sistemas de humedales y se debe principalmente a la fotosíntesis. Por lo tanto, estos sistemas normalmente se vuelven anóxicos durante los períodos sin luz solar. </t>
  </si>
  <si>
    <t>*Composting is the biological oxidation of a solid waste including manure usually with bedding or another organic carbon source typically at thermophilic temperatures produced by microbial heat production.</t>
  </si>
  <si>
    <t>Source: 2019 Refinement to the 2006 IPCC Guidelines for National Greenhouse Gas Inventories, Chapter 10: Emissions from Livestock and Manure Management, Table 10.18: Definitions of Manure Management Systems, p. 10.72.</t>
  </si>
  <si>
    <r>
      <t xml:space="preserve">Sistema 
</t>
    </r>
    <r>
      <rPr>
        <b/>
        <i/>
        <sz val="10"/>
        <color rgb="FFFFFFFF"/>
        <rFont val="Arial"/>
        <family val="2"/>
      </rPr>
      <t>System</t>
    </r>
  </si>
  <si>
    <r>
      <t xml:space="preserve">Definicion 
</t>
    </r>
    <r>
      <rPr>
        <b/>
        <i/>
        <sz val="10"/>
        <color rgb="FFFFFFFF"/>
        <rFont val="Arial"/>
        <family val="2"/>
      </rPr>
      <t>Definition</t>
    </r>
  </si>
  <si>
    <r>
      <t>The addition of specific substances to the pile in order to reduce gaseous emissions. Addition of certain compounds such as attapulgite, dicyandiamide or mature compost have shown to reduce N</t>
    </r>
    <r>
      <rPr>
        <i/>
        <vertAlign val="subscript"/>
        <sz val="10"/>
        <color theme="1"/>
        <rFont val="Arial"/>
        <family val="2"/>
      </rPr>
      <t>2</t>
    </r>
    <r>
      <rPr>
        <i/>
        <sz val="10"/>
        <color theme="1"/>
        <rFont val="Arial"/>
        <family val="2"/>
      </rPr>
      <t>O emissions; while phosphogypsum reduces CH</t>
    </r>
    <r>
      <rPr>
        <i/>
        <vertAlign val="subscript"/>
        <sz val="10"/>
        <color theme="1"/>
        <rFont val="Arial"/>
        <family val="2"/>
      </rPr>
      <t>4</t>
    </r>
    <r>
      <rPr>
        <i/>
        <sz val="10"/>
        <color theme="1"/>
        <rFont val="Arial"/>
        <family val="2"/>
      </rPr>
      <t xml:space="preserve"> emissions.</t>
    </r>
  </si>
  <si>
    <t>Ganado vacuno de leche y carne / Dairy and beef cattle</t>
  </si>
  <si>
    <r>
      <t xml:space="preserve">Fuente
</t>
    </r>
    <r>
      <rPr>
        <b/>
        <i/>
        <sz val="10"/>
        <rFont val="Arial"/>
        <family val="2"/>
      </rPr>
      <t>Source</t>
    </r>
  </si>
  <si>
    <r>
      <t xml:space="preserve">Categoría de Ganado  (L)
</t>
    </r>
    <r>
      <rPr>
        <b/>
        <i/>
        <sz val="10"/>
        <rFont val="Arial"/>
        <family val="2"/>
      </rPr>
      <t>Livestock Category</t>
    </r>
  </si>
  <si>
    <r>
      <t xml:space="preserve">Terneros (en forraje, en pastos/pastizales) 
</t>
    </r>
    <r>
      <rPr>
        <i/>
        <sz val="10"/>
        <color rgb="FF000000"/>
        <rFont val="Arial"/>
        <family val="2"/>
      </rPr>
      <t>Calves (on forage, in pasture/rangeland)</t>
    </r>
  </si>
  <si>
    <r>
      <t xml:space="preserve">Terneros (en lechero, en pastos/pastizales) 
</t>
    </r>
    <r>
      <rPr>
        <i/>
        <sz val="10"/>
        <color rgb="FF000000"/>
        <rFont val="Arial"/>
        <family val="2"/>
      </rPr>
      <t>Calves (on milk, in pasture/rangeland)</t>
    </r>
  </si>
  <si>
    <r>
      <t xml:space="preserve">Cerdos de vivero 
</t>
    </r>
    <r>
      <rPr>
        <i/>
        <sz val="10"/>
        <rFont val="Arial"/>
        <family val="2"/>
      </rPr>
      <t>Nursery swine</t>
    </r>
  </si>
  <si>
    <r>
      <t xml:space="preserve">Cerdos en crecimiento 
</t>
    </r>
    <r>
      <rPr>
        <i/>
        <sz val="10"/>
        <rFont val="Arial"/>
        <family val="2"/>
      </rPr>
      <t>Growing swine</t>
    </r>
  </si>
  <si>
    <r>
      <t xml:space="preserve">Cerdo hembra 
</t>
    </r>
    <r>
      <rPr>
        <i/>
        <sz val="10"/>
        <rFont val="Arial"/>
        <family val="2"/>
      </rPr>
      <t>Female swine</t>
    </r>
  </si>
  <si>
    <r>
      <t xml:space="preserve">Cerdo macho
</t>
    </r>
    <r>
      <rPr>
        <i/>
        <sz val="10"/>
        <rFont val="Arial"/>
        <family val="2"/>
      </rPr>
      <t>Male swine</t>
    </r>
  </si>
  <si>
    <r>
      <t xml:space="preserve">Cerdo Terminado
</t>
    </r>
    <r>
      <rPr>
        <i/>
        <sz val="10"/>
        <rFont val="Arial"/>
        <family val="2"/>
      </rPr>
      <t>Finished swine</t>
    </r>
  </si>
  <si>
    <r>
      <t xml:space="preserve">Pollos / </t>
    </r>
    <r>
      <rPr>
        <b/>
        <i/>
        <sz val="10"/>
        <color rgb="FF000000"/>
        <rFont val="Arial"/>
        <family val="2"/>
      </rPr>
      <t>Chickens</t>
    </r>
  </si>
  <si>
    <r>
      <t xml:space="preserve">Gallinas
</t>
    </r>
    <r>
      <rPr>
        <i/>
        <sz val="10"/>
        <color rgb="FF000000"/>
        <rFont val="Arial"/>
        <family val="2"/>
      </rPr>
      <t>Hens</t>
    </r>
  </si>
  <si>
    <r>
      <t xml:space="preserve">Pollitas
</t>
    </r>
    <r>
      <rPr>
        <i/>
        <sz val="10"/>
        <color rgb="FF000000"/>
        <rFont val="Arial"/>
        <family val="2"/>
      </rPr>
      <t>Pullets</t>
    </r>
  </si>
  <si>
    <t>g</t>
  </si>
  <si>
    <r>
      <rPr>
        <b/>
        <sz val="10"/>
        <rFont val="Arial"/>
        <family val="2"/>
      </rPr>
      <t>a</t>
    </r>
    <r>
      <rPr>
        <sz val="10"/>
        <rFont val="Arial"/>
        <family val="2"/>
      </rPr>
      <t xml:space="preserve"> Peso promedio de las hembras como referencia para América Latina. Fuentes: Instituto Nacional de Innovación y Transferencia de Tecnología Agropecuaria, 2017, Manual de Gestión: sistemas intensivos sustentables de engorde ganadero, Costa Rica; FIRCO-SAGARPA, Potencial de Biogás en México, SAGARPA, Generación y Aprovechamiento de Biogás en Granjas Porcícolas y Establos Lecheros.</t>
    </r>
  </si>
  <si>
    <r>
      <rPr>
        <b/>
        <sz val="10"/>
        <rFont val="Arial"/>
        <family val="2"/>
      </rPr>
      <t>b</t>
    </r>
    <r>
      <rPr>
        <sz val="10"/>
        <rFont val="Arial"/>
        <family val="2"/>
      </rPr>
      <t xml:space="preserve"> Asocebú, 2021, Evaluación Genética, Colombia. Cuadro 1. Pesos promedio de progenie de toros evaluados en el área del Caribe, pág. 6.</t>
    </r>
  </si>
  <si>
    <r>
      <rPr>
        <b/>
        <sz val="10"/>
        <rFont val="Arial"/>
        <family val="2"/>
      </rPr>
      <t>c</t>
    </r>
    <r>
      <rPr>
        <sz val="10"/>
        <rFont val="Arial"/>
        <family val="2"/>
      </rPr>
      <t xml:space="preserve"> Valores por defecto para América Latina. Fuente: IPCC, 2019. Directrices del IPCC para los Inventarios Nacionales de Gases de Efecto Invernadero, Volumen 4, Capítulo 10, Anexo 10-A1. (Cuadro 10A-3).</t>
    </r>
  </si>
  <si>
    <r>
      <rPr>
        <b/>
        <sz val="10"/>
        <rFont val="Arial"/>
        <family val="2"/>
      </rPr>
      <t>d</t>
    </r>
    <r>
      <rPr>
        <sz val="10"/>
        <rFont val="Arial"/>
        <family val="2"/>
      </rPr>
      <t xml:space="preserve"> TetraTech, 2012, Estudio de factibilidad para el desarrollo del Programa de Actividades MDL para la captura y uso de metano en el sector porcino en República Dominicana, Arlington.</t>
    </r>
  </si>
  <si>
    <r>
      <rPr>
        <b/>
        <sz val="10"/>
        <rFont val="Arial"/>
        <family val="2"/>
      </rPr>
      <t>e</t>
    </r>
    <r>
      <rPr>
        <sz val="10"/>
        <rFont val="Arial"/>
        <family val="2"/>
      </rPr>
      <t xml:space="preserve"> Oficina Nacional de Estadística, 2022, Producción Ganadera Nacional Consolidada, por mes, 2016-2022, República Dominicana</t>
    </r>
  </si>
  <si>
    <r>
      <rPr>
        <b/>
        <sz val="10"/>
        <rFont val="Arial"/>
        <family val="2"/>
      </rPr>
      <t>f</t>
    </r>
    <r>
      <rPr>
        <sz val="10"/>
        <rFont val="Arial"/>
        <family val="2"/>
      </rPr>
      <t xml:space="preserve"> Valores por defecto para América Latina. Fuente: IPCC, 2019. Perfeccionamiento de 2019 de las Directrices del IPCC de 2006 para los inventarios nacionales de gases de efecto invernadero, Volumen 4, Capítulo 10, Anexo 10-A.2 (Tabla 10A-5)</t>
    </r>
  </si>
  <si>
    <r>
      <rPr>
        <b/>
        <sz val="10"/>
        <rFont val="Arial"/>
        <family val="2"/>
      </rPr>
      <t>g</t>
    </r>
    <r>
      <rPr>
        <sz val="10"/>
        <rFont val="Arial"/>
        <family val="2"/>
      </rPr>
      <t xml:space="preserve"> Ministerio de Agricultura. Departamento de Economía y Estadística Agraria. 2022. Producción de Productos Pecuarios, 2022 (Cuadro 5.2.0).</t>
    </r>
  </si>
  <si>
    <r>
      <t xml:space="preserve">g </t>
    </r>
    <r>
      <rPr>
        <i/>
        <sz val="10"/>
        <rFont val="Arial"/>
        <family val="2"/>
      </rPr>
      <t>Ministry of Agriculture. Department of Agricultural Economics and Statistics. 2022. Production of Livestock Products, 2022 (Table 5.2.0).</t>
    </r>
  </si>
  <si>
    <r>
      <rPr>
        <b/>
        <i/>
        <sz val="10"/>
        <rFont val="Arial"/>
        <family val="2"/>
      </rPr>
      <t>f</t>
    </r>
    <r>
      <rPr>
        <i/>
        <sz val="10"/>
        <rFont val="Arial"/>
        <family val="2"/>
      </rPr>
      <t xml:space="preserve"> Default values for Latin America. Source: IPCC, 2019. 2019 Refinement to the 2006 IPCC Guidelines for National Greenhouse Gas Inventories, Volume 4, Chapter 10, Annex 10-A.2 (Table 10A-5)</t>
    </r>
  </si>
  <si>
    <r>
      <rPr>
        <b/>
        <i/>
        <sz val="10"/>
        <rFont val="Arial"/>
        <family val="2"/>
      </rPr>
      <t>e</t>
    </r>
    <r>
      <rPr>
        <i/>
        <sz val="10"/>
        <rFont val="Arial"/>
        <family val="2"/>
      </rPr>
      <t xml:space="preserve"> National Statistics Office, 2022, National Consolidated Livestock Production, per month, 2016-2022, Dominican Republic</t>
    </r>
  </si>
  <si>
    <r>
      <rPr>
        <b/>
        <i/>
        <sz val="10"/>
        <rFont val="Arial"/>
        <family val="2"/>
      </rPr>
      <t>d</t>
    </r>
    <r>
      <rPr>
        <i/>
        <sz val="10"/>
        <rFont val="Arial"/>
        <family val="2"/>
      </rPr>
      <t xml:space="preserve"> TetraTech, 2012, Feasibility study for the development of CDM Program of Activities for the capture and use of methane in the swine sector in the Dominican Republic, Arlington.</t>
    </r>
  </si>
  <si>
    <r>
      <rPr>
        <b/>
        <i/>
        <sz val="10"/>
        <rFont val="Arial"/>
        <family val="2"/>
      </rPr>
      <t>c</t>
    </r>
    <r>
      <rPr>
        <i/>
        <sz val="10"/>
        <rFont val="Arial"/>
        <family val="2"/>
      </rPr>
      <t xml:space="preserve"> Default values for Latin America. Source: IPCC, 2019. IPCC Guidelines for National Greenhouse Gas Inventories, Volume 4, Chapter 10, Annex 10-A1. (Table 10A.3).</t>
    </r>
  </si>
  <si>
    <r>
      <rPr>
        <b/>
        <i/>
        <sz val="10"/>
        <rFont val="Arial"/>
        <family val="2"/>
      </rPr>
      <t xml:space="preserve">a </t>
    </r>
    <r>
      <rPr>
        <i/>
        <sz val="10"/>
        <rFont val="Arial"/>
        <family val="2"/>
      </rPr>
      <t>Average weight of females as a reference for Latin America. Sources: National Institute of Innovation and Transfer of Agricultural Technology, 2017, Management Manual: sustainable intensive systems of fattening livestock, Costa Rica; FIRCO-SAGARPA, Biogas Potential in Mexico, SAGARPA, Generation and Use of Biogas in Pig Farms and Dairy Barns.</t>
    </r>
  </si>
  <si>
    <r>
      <rPr>
        <b/>
        <i/>
        <sz val="10"/>
        <rFont val="Arial"/>
        <family val="2"/>
      </rPr>
      <t>b</t>
    </r>
    <r>
      <rPr>
        <i/>
        <sz val="10"/>
        <rFont val="Arial"/>
        <family val="2"/>
      </rPr>
      <t xml:space="preserve"> Asocebú, 2021, Genetic Evaluation, Colombia. Table 1. Average Progeny Weights of Evaluated Bulls in the Caribbean area, pg. 6.</t>
    </r>
  </si>
  <si>
    <t>Table XIV.B. Livestock Categories and Average Typical Mass</t>
  </si>
  <si>
    <t>Table XIV.C. Volatile Solids and Maximum Methane Potential by Category of Cattle</t>
  </si>
  <si>
    <r>
      <t xml:space="preserve">Ganado Porcino / </t>
    </r>
    <r>
      <rPr>
        <b/>
        <i/>
        <sz val="10"/>
        <color rgb="FF000000"/>
        <rFont val="Arial"/>
        <family val="2"/>
      </rPr>
      <t>Swine</t>
    </r>
    <r>
      <rPr>
        <b/>
        <sz val="10"/>
        <color indexed="8"/>
        <rFont val="Arial"/>
        <family val="2"/>
      </rPr>
      <t xml:space="preserve">
</t>
    </r>
  </si>
  <si>
    <r>
      <t xml:space="preserve">Ganado Porcino / </t>
    </r>
    <r>
      <rPr>
        <b/>
        <i/>
        <sz val="10"/>
        <color rgb="FF000000"/>
        <rFont val="Arial"/>
        <family val="2"/>
      </rPr>
      <t>Swine</t>
    </r>
  </si>
  <si>
    <r>
      <t xml:space="preserve">Pollos de engorde
</t>
    </r>
    <r>
      <rPr>
        <i/>
        <sz val="10"/>
        <color rgb="FF000000"/>
        <rFont val="Arial"/>
        <family val="2"/>
      </rPr>
      <t>Broilers</t>
    </r>
  </si>
  <si>
    <r>
      <t xml:space="preserve">a </t>
    </r>
    <r>
      <rPr>
        <sz val="10"/>
        <rFont val="Arial"/>
        <family val="2"/>
      </rPr>
      <t xml:space="preserve">Estimaciones basadas en un estudio de mediciones de laboratorio y análisis químico de estiércol de ganado. Los valores de sólidos volátiles se estimaron multiplicando la tasa de excrementos frescos por el porcentaje de sólidos volátiles. Fuentes: FAO, 2019. Manejo de estiércol en fincas ganaderas. Ganaclima República Dominicana. Delgado, E., 2018. Valorización de estiércol bovino y porcino en la producción de biogás en un biodigestor de producción por etapas. trabajo de grado. Universidad Politécnica Salesiana, Ecuador. </t>
    </r>
  </si>
  <si>
    <r>
      <t xml:space="preserve">b </t>
    </r>
    <r>
      <rPr>
        <sz val="10"/>
        <rFont val="Arial"/>
        <family val="2"/>
      </rPr>
      <t xml:space="preserve">Valor como referente para América Latina. Fuente: González-Ávalos, E., 1999. Determinación Experimental de Factores de Emisión de Metano de Excretas de Ganado en México, Tesis Doctoral en Ciencias Físicas de la Atmósfera, Universidad Nacional Autónoma de México, México (página 76). </t>
    </r>
  </si>
  <si>
    <r>
      <t xml:space="preserve">a </t>
    </r>
    <r>
      <rPr>
        <i/>
        <sz val="10"/>
        <rFont val="Arial"/>
        <family val="2"/>
      </rPr>
      <t>Estimates based on a study of laboratory measurements and chemical analysis of cattle manure. Volatile solids values were estimated by multiplying the rate of fresh excreta by the percentage of volatile solids. Sources: FAO, 2019. Manure management on cattle farms. Ganaclima Dominican Republic. Delgado, E., 2018. Valuation of bovine and pig manure in the production of biogas in a staged production biodigester. Degree work. Salesian Polytechnic University, Ecuador.</t>
    </r>
  </si>
  <si>
    <r>
      <t xml:space="preserve">b </t>
    </r>
    <r>
      <rPr>
        <i/>
        <sz val="10"/>
        <rFont val="Arial"/>
        <family val="2"/>
      </rPr>
      <t>Value as a reference for Latin America. Source: González-Ávalos, E., 1999. Experimental Determination of Methane Emission Factors from Cattle Excreta in Mexico, PhD Thesis in Physical Sciences of the Atmosphere, National Autonomous University of Mexico, Mexico (page 76).</t>
    </r>
  </si>
  <si>
    <r>
      <t>c</t>
    </r>
    <r>
      <rPr>
        <sz val="10"/>
        <rFont val="Arial"/>
        <family val="2"/>
      </rPr>
      <t xml:space="preserve"> Estimaciones basadas en datos de referencia de sólidos volátiles en excretas en kg SVT/100 kg. de peso vivo multiplicado por la masa típica promedio para cada tipo de rebaño porcino (de la Tabla B.2) por animal. Fuente de valor SVT: Consejo Mexicano de Porcicultura, 1997, Manual para el manejo y control de aguas residuales y excretas porcinas en México, proyecto desarrollado por EP Taiganides, R. Pérez-Espejo, y E. Girón-Sánchez, México, DF, México (Tabla 3.9). </t>
    </r>
  </si>
  <si>
    <r>
      <t xml:space="preserve">c </t>
    </r>
    <r>
      <rPr>
        <sz val="10"/>
        <rFont val="Arial"/>
        <family val="2"/>
      </rPr>
      <t>Estimates based on reference data for volatile solids in excreta in kg SVT/100 kg. of live weight multiplying by the average typical mass for each type of swine herd (from Table B.2) per animal. SVT value source: Mexican Pig Farming Council, 1997, Manual for the management and control of wastewater and swine excreta in Mexico, project developed by E.P. Taiganides, R. Pérez-Espejo, and E. Girón-Sánchez, México, D.F., México (Table 3.9).</t>
    </r>
  </si>
  <si>
    <r>
      <t xml:space="preserve">d </t>
    </r>
    <r>
      <rPr>
        <sz val="10"/>
        <rFont val="Arial"/>
        <family val="2"/>
      </rPr>
      <t xml:space="preserve">Valores por defecto para América Latina. Fuente: IPCC, 2019. Directrices del IPCC para los Inventarios Nacionales de Gases de Efecto Invernadero, Volumen 4, Capítulo 10, Sección 10.4.2 (Tabla 10.16 y Tabla 10.13a). </t>
    </r>
  </si>
  <si>
    <r>
      <t xml:space="preserve">d </t>
    </r>
    <r>
      <rPr>
        <i/>
        <sz val="10"/>
        <rFont val="Arial"/>
        <family val="2"/>
      </rPr>
      <t>Default values for Latin America. Source: IPCC, 2019.  IPCC Guidelines for National Greenhouse Gas Inventories, Volume 4, Chapter 10, Section 10.4.2 (Table 10.16 and Table 10.13a).</t>
    </r>
  </si>
  <si>
    <t>Hashimoto &amp; Steed (1993)</t>
  </si>
  <si>
    <r>
      <t xml:space="preserve">a </t>
    </r>
    <r>
      <rPr>
        <sz val="9"/>
        <color rgb="FF000000"/>
        <rFont val="Arial"/>
        <family val="2"/>
      </rPr>
      <t xml:space="preserve">Definitions for manure management systems are provided in </t>
    </r>
    <r>
      <rPr>
        <sz val="9"/>
        <color theme="1"/>
        <rFont val="Arial"/>
        <family val="2"/>
      </rPr>
      <t>Table B.1</t>
    </r>
  </si>
  <si>
    <r>
      <t xml:space="preserve">Pasto/Campo/Prado 
</t>
    </r>
    <r>
      <rPr>
        <i/>
        <sz val="9"/>
        <color rgb="FF000000"/>
        <rFont val="Arial"/>
        <family val="2"/>
      </rPr>
      <t>Pasture/Range/Paddock</t>
    </r>
  </si>
  <si>
    <t>Cool Temperate Moist</t>
  </si>
  <si>
    <t xml:space="preserve">Boreal 
Húmedo </t>
  </si>
  <si>
    <t>Boreal Moist</t>
  </si>
  <si>
    <t>Cool Temperate Dry</t>
  </si>
  <si>
    <t>Boreal Dry</t>
  </si>
  <si>
    <t>Boreal Seco</t>
  </si>
  <si>
    <r>
      <t xml:space="preserve">Factores de conversion de metano por zona climatica para sistemas de manejo de estiercol
</t>
    </r>
    <r>
      <rPr>
        <b/>
        <i/>
        <sz val="9"/>
        <color rgb="FFFFFFFF"/>
        <rFont val="Arial"/>
        <family val="2"/>
      </rPr>
      <t>Methane Conversion Factors by Climate Zone for Manure Management Systems</t>
    </r>
  </si>
  <si>
    <r>
      <t xml:space="preserve">FCM por zona climatica
</t>
    </r>
    <r>
      <rPr>
        <b/>
        <i/>
        <sz val="9"/>
        <color rgb="FF000000"/>
        <rFont val="Arial"/>
        <family val="2"/>
      </rPr>
      <t>MCF by climate zone</t>
    </r>
  </si>
  <si>
    <r>
      <t xml:space="preserve">Fresco
</t>
    </r>
    <r>
      <rPr>
        <b/>
        <i/>
        <sz val="9"/>
        <color rgb="FF000000"/>
        <rFont val="Arial"/>
        <family val="2"/>
      </rPr>
      <t>Cool</t>
    </r>
  </si>
  <si>
    <r>
      <t xml:space="preserve">Templado
</t>
    </r>
    <r>
      <rPr>
        <b/>
        <i/>
        <sz val="9"/>
        <color rgb="FF000000"/>
        <rFont val="Arial"/>
        <family val="2"/>
      </rPr>
      <t>Temperate</t>
    </r>
  </si>
  <si>
    <r>
      <t>Calido</t>
    </r>
    <r>
      <rPr>
        <b/>
        <i/>
        <sz val="9"/>
        <color rgb="FF000000"/>
        <rFont val="Arial"/>
        <family val="2"/>
      </rPr>
      <t xml:space="preserve">
Warm</t>
    </r>
  </si>
  <si>
    <t>Warm Temperate Moist</t>
  </si>
  <si>
    <t>Warm Temperate Dry</t>
  </si>
  <si>
    <t>Tropical Montane</t>
  </si>
  <si>
    <t>Tropical Wet</t>
  </si>
  <si>
    <t>Tropical Moist</t>
  </si>
  <si>
    <t>Tropical Dry</t>
  </si>
  <si>
    <t xml:space="preserve">Cálido 
Templado Seco </t>
  </si>
  <si>
    <t xml:space="preserve">Cálido Templado Húmedo </t>
  </si>
  <si>
    <t xml:space="preserve">Fresco Templado Seco </t>
  </si>
  <si>
    <r>
      <t>Montaña tropical</t>
    </r>
    <r>
      <rPr>
        <sz val="9"/>
        <color rgb="FF000000"/>
        <rFont val="Arial"/>
        <family val="2"/>
      </rPr>
      <t> </t>
    </r>
  </si>
  <si>
    <t xml:space="preserve">Tropical 
Húmedo </t>
  </si>
  <si>
    <t xml:space="preserve">Tropical 
Seco </t>
  </si>
  <si>
    <r>
      <t xml:space="preserve">Fuente y Commentarios
</t>
    </r>
    <r>
      <rPr>
        <b/>
        <i/>
        <sz val="9"/>
        <color rgb="FF000000"/>
        <rFont val="Arial"/>
        <family val="2"/>
      </rPr>
      <t>Source and Comments</t>
    </r>
  </si>
  <si>
    <r>
      <t xml:space="preserve">
Sistema</t>
    </r>
    <r>
      <rPr>
        <b/>
        <vertAlign val="superscript"/>
        <sz val="9"/>
        <color rgb="FF000000"/>
        <rFont val="Arial"/>
        <family val="2"/>
      </rPr>
      <t xml:space="preserve">a
</t>
    </r>
    <r>
      <rPr>
        <b/>
        <i/>
        <sz val="9"/>
        <color rgb="FF000000"/>
        <rFont val="Arial"/>
        <family val="2"/>
      </rPr>
      <t>System</t>
    </r>
  </si>
  <si>
    <t>Fresco Templado Humedo</t>
  </si>
  <si>
    <r>
      <t xml:space="preserve">Los FCM de praderas y potreros siempre deben usarse junto con un valor de B0 de 0,19 m3 de CH4/kg de VS excretado para mantener la coherencia con los datos de la versión actualizada de Cai et al. (2017) base de datos (consulte el Anexo 10B.6 de las Directrices del IPCC de 2019 para los inventarios de gases de efecto invernadero de 2006) 
</t>
    </r>
    <r>
      <rPr>
        <i/>
        <sz val="9"/>
        <color rgb="FF000000"/>
        <rFont val="Arial"/>
        <family val="2"/>
      </rPr>
      <t>Pasture Range and Paddock MCFs must always be used in conjunction with a B0 value of 0.19 m</t>
    </r>
    <r>
      <rPr>
        <i/>
        <vertAlign val="superscript"/>
        <sz val="9"/>
        <color rgb="FF000000"/>
        <rFont val="Arial"/>
        <family val="2"/>
      </rPr>
      <t>3</t>
    </r>
    <r>
      <rPr>
        <i/>
        <sz val="9"/>
        <color rgb="FF000000"/>
        <rFont val="Arial"/>
        <family val="2"/>
      </rPr>
      <t xml:space="preserve"> CH</t>
    </r>
    <r>
      <rPr>
        <i/>
        <vertAlign val="subscript"/>
        <sz val="9"/>
        <color rgb="FF000000"/>
        <rFont val="Arial"/>
        <family val="2"/>
      </rPr>
      <t>4</t>
    </r>
    <r>
      <rPr>
        <i/>
        <sz val="9"/>
        <color rgb="FF000000"/>
        <rFont val="Arial"/>
        <family val="2"/>
      </rPr>
      <t>/kg of VS excreted to maintain consistency with the data in updated version of Cai et al. (2017) database (see Annex 10B.6 of the IPCC 2019 Refinement to the 2006 IPCC Guidelines for Greenhouse Gas Inventories)</t>
    </r>
  </si>
  <si>
    <r>
      <t xml:space="preserve">Propagación diaria 
</t>
    </r>
    <r>
      <rPr>
        <i/>
        <sz val="9"/>
        <color rgb="FF000000"/>
        <rFont val="Arial"/>
        <family val="2"/>
      </rPr>
      <t>Daily spread</t>
    </r>
  </si>
  <si>
    <r>
      <t xml:space="preserve">Almacenamiento sólido 
</t>
    </r>
    <r>
      <rPr>
        <i/>
        <sz val="9"/>
        <color rgb="FF000000"/>
        <rFont val="Arial"/>
        <family val="2"/>
      </rPr>
      <t>Solid storage</t>
    </r>
  </si>
  <si>
    <r>
      <t xml:space="preserve">Las fuentes y los supuestos para calcular los valores MCF para las categorías de almacenamiento sólido y el compostaje (pila estática y pilas pasivas) se detallan en el Anexo 10B.7 del perfeccionamiento del IPCC de 2019 de las Directrices del IPCC de 2006 para los inventarios de gases de efecto invernadero. Juicio de expertos basado en IPCC (2006) y actualización respaldada por Pardo et al. (2015). Las emisiones en un clima templado pueden duplicarse en relación con un clima frío.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IPCC (2006) and update supported by Pardo et al. (2015). Emissions in temperate climate can be double relative to a cool climate.</t>
    </r>
  </si>
  <si>
    <r>
      <t xml:space="preserve">Almacenamiento sólido - Cubierto/compactado 
</t>
    </r>
    <r>
      <rPr>
        <i/>
        <sz val="9"/>
        <color rgb="FF000000"/>
        <rFont val="Arial"/>
        <family val="2"/>
      </rPr>
      <t>Solid storage - Covered/compacted</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</si>
  <si>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Juicio de expertos basado en Pardo et al., (2015). Emisiones en el mismo rango que el almacenamiento sólido.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Pardo et al., (2015). Emissions in the same range as solid storage.</t>
    </r>
  </si>
  <si>
    <r>
      <t xml:space="preserve">Almacenamiento sólido - Agente de carga adicional </t>
    </r>
    <r>
      <rPr>
        <i/>
        <sz val="9"/>
        <color rgb="FF000000"/>
        <rFont val="Arial"/>
        <family val="2"/>
      </rPr>
      <t xml:space="preserve">
Solid storage - Bulking agent additional</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</si>
  <si>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Juicio de expertos basado en Pardo et al. (2015). Reducción estimada del 75% debido a la adición de agente de carga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Pardo et al. (2015). Estimated reduction of 75% due to bulking agent addition</t>
    </r>
  </si>
  <si>
    <r>
      <t xml:space="preserve">Almacenamiento sólido - Aditivos 
</t>
    </r>
    <r>
      <rPr>
        <i/>
        <sz val="9"/>
        <color rgb="FF000000"/>
        <rFont val="Arial"/>
        <family val="2"/>
      </rPr>
      <t>Solid storage - Additives</t>
    </r>
  </si>
  <si>
    <r>
      <t xml:space="preserve">Las fuentes y los supuestos para calcular los valores de MCF para las categorías de almacenamiento sólido y el compostaje (pila estática y pilas pasivas) se detallan en el Anexo 10B.7 del perfeccionamiento del IPCC de 2019 de las Directrices del IPCC de 2006 para los inventarios de gases de efecto invernadero. Juicio de expertos basado en Pardo et al. (2015). Reducción estimada del 50% por adición de aditivos.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Pardo et al. (2015). Estimated reduction of 50% due to additives addition.</t>
    </r>
  </si>
  <si>
    <r>
      <t xml:space="preserve">Estiércol de ave con y sin cama 
</t>
    </r>
    <r>
      <rPr>
        <i/>
        <sz val="9"/>
        <color rgb="FF000000"/>
        <rFont val="Arial"/>
        <family val="2"/>
      </rPr>
      <t>Poultry manure with and without litter</t>
    </r>
  </si>
  <si>
    <r>
      <t xml:space="preserve">El juicio del Grupo de Expertos del IPCC de 2006. Los MCF son similares al almacenamiento sólido o al lote seco pero con temperaturas cálidas generalmente constantes. 
</t>
    </r>
    <r>
      <rPr>
        <i/>
        <sz val="9"/>
        <color rgb="FF000000"/>
        <rFont val="Arial"/>
        <family val="2"/>
      </rPr>
      <t>Judgment of 2006 IPCC Expert Group. MCFs are similar to solid storage or to dry lot but with generally constant warm temperatures.</t>
    </r>
  </si>
  <si>
    <r>
      <t xml:space="preserve">Tratamiento aeróbico 
</t>
    </r>
    <r>
      <rPr>
        <i/>
        <sz val="9"/>
        <color rgb="FF000000"/>
        <rFont val="Arial"/>
        <family val="2"/>
      </rPr>
      <t>Aerobic treatment</t>
    </r>
  </si>
  <si>
    <r>
      <t xml:space="preserve">Sentencia del Grupo de Expertos del IPCC de 2006. Los MCF están cerca de cero. El tratamiento aeróbico puede resultar en la acumulación de lodos que pueden tratarse en otros sistemas. El lodo requiere remoción y tiene valores VS altos. Es importante identificar el próximo proceso de gestión de los lodos y estimar las emisiones de ese proceso de gestión, si son significativas. 
</t>
    </r>
    <r>
      <rPr>
        <i/>
        <sz val="9"/>
        <color rgb="FF000000"/>
        <rFont val="Arial"/>
        <family val="2"/>
      </rPr>
      <t>Judgment of 2006 IPCC Expert Group. MCFs are near zero. Aerobic treatment can result in the accumulation of sludge which may be treated in other systems. Sludge requires removal and has large VS values. It is important to identify the next management process for the sludge and estimate the emissions from that management process if significant.</t>
    </r>
  </si>
  <si>
    <r>
      <t xml:space="preserve">lote seco 
</t>
    </r>
    <r>
      <rPr>
        <i/>
        <sz val="9"/>
        <color rgb="FF000000"/>
        <rFont val="Arial"/>
        <family val="2"/>
      </rPr>
      <t>Dry lot</t>
    </r>
  </si>
  <si>
    <r>
      <t xml:space="preserve">Sentencia del Grupo de Expertos del IPCC 2006 en combinación con Hashimoto &amp; Steed (1993) 
</t>
    </r>
    <r>
      <rPr>
        <i/>
        <sz val="9"/>
        <color rgb="FF000000"/>
        <rFont val="Arial"/>
        <family val="2"/>
      </rPr>
      <t>Judgment of IPCC 2006 Expert Group in combination with Hashimoto &amp; Steed (1993)</t>
    </r>
  </si>
  <si>
    <r>
      <t xml:space="preserve">Almacenamiento de líquidos/lodos y pozos debajo de confinamientos de animales 
</t>
    </r>
    <r>
      <rPr>
        <i/>
        <sz val="9"/>
        <color rgb="FF000000"/>
        <rFont val="Arial"/>
        <family val="2"/>
      </rPr>
      <t>Liquid/Slurry, and Pit storage below animal confinements</t>
    </r>
  </si>
  <si>
    <r>
      <t xml:space="preserve">4 meses
4 </t>
    </r>
    <r>
      <rPr>
        <i/>
        <sz val="9"/>
        <color rgb="FF000000"/>
        <rFont val="Arial"/>
        <family val="2"/>
      </rPr>
      <t>month</t>
    </r>
  </si>
  <si>
    <r>
      <t xml:space="preserve">3 meses
3 </t>
    </r>
    <r>
      <rPr>
        <i/>
        <sz val="9"/>
        <color rgb="FF000000"/>
        <rFont val="Arial"/>
        <family val="2"/>
      </rPr>
      <t>month</t>
    </r>
  </si>
  <si>
    <r>
      <t xml:space="preserve">1 mes 
1 </t>
    </r>
    <r>
      <rPr>
        <i/>
        <sz val="9"/>
        <color rgb="FF000000"/>
        <rFont val="Arial"/>
        <family val="2"/>
      </rPr>
      <t>month</t>
    </r>
  </si>
  <si>
    <r>
      <t xml:space="preserve">6 meses
6 </t>
    </r>
    <r>
      <rPr>
        <i/>
        <sz val="9"/>
        <color rgb="FF000000"/>
        <rFont val="Arial"/>
        <family val="2"/>
      </rPr>
      <t>month</t>
    </r>
    <r>
      <rPr>
        <sz val="9"/>
        <color rgb="FF000000"/>
        <rFont val="Arial"/>
        <family val="2"/>
      </rPr>
      <t xml:space="preserve"> </t>
    </r>
  </si>
  <si>
    <r>
      <t xml:space="preserve">12 meses
12 </t>
    </r>
    <r>
      <rPr>
        <i/>
        <sz val="9"/>
        <color rgb="FF000000"/>
        <rFont val="Arial"/>
        <family val="2"/>
      </rPr>
      <t>month</t>
    </r>
  </si>
  <si>
    <r>
      <t>El juicio inicial del Grupo de Expertos del IPCC respaldado por nuevas investigaciones adicionales (consulte el Anexo B.7 del Refinamiento del IPCC de 2019 a las Directrices del IPCC de 2006 para los inventarios de gases de efecto invernadero para obtener detalles adicionales). Los valores predeterminados sugeridos son equivalentes a los sistemas líquidos con un tiempo de retención de 6 meses si se desconocen los tiempos de retención. Se puede aplicar una reducción del 40% debido a la cobertura de la costra solo cuando hay una costra espesa y seca. Las costras gruesas y secas ocurren en sistemas en los que se usa lecho orgánico en el establo y está permitido. Durante 3 meses, el Tavg C para Templado Húmedo Frío, Templado Fresco Seco, Templado Cálido Húmedo, Templado Cálido Seco, Tropical, Tropical Húmedo, Tropical Húmedo, Tropical Seco fueron 4.6, 5.8, 13.9, 14.0, 21.5, 25.9, 25.2, 25.6 respectivamente. Durante 4-12 meses, 
The initial judgment of IPCC Expert Group supported by additional new research (See Annex B.7 of the IPCC 2019 Refinement to the 2006 IPCC Guidelines for Greenhouse Gas Inventories for additional details). Suggested default values are equivalent to liquid systems with 6 month retention time if retention times are unknown. A reduction of 40% due to crust cover may be applied only when a thick, dry, crust is present. Thick dry crusts occur in systems in which organic bedding is used in the barn and is allowed. For 3 months, the T</t>
    </r>
    <r>
      <rPr>
        <vertAlign val="subscript"/>
        <sz val="9"/>
        <color rgb="FF000000"/>
        <rFont val="Arial"/>
        <family val="2"/>
      </rPr>
      <t>avg</t>
    </r>
    <r>
      <rPr>
        <sz val="9"/>
        <color rgb="FF000000"/>
        <rFont val="Arial"/>
        <family val="2"/>
      </rPr>
      <t xml:space="preserve"> C for Cool Temperate Moist, Cool Temperate Dry, Warm Temperate Moist, Warm Temperate Dry, Tropical, Tropical Wet, Tropical Moist, Tropical Dry were 4.6, 5.8, 13.9, 14.0, 21.5, 25.9, 25.2, 25.6 respectively. For 4-12 months, solid-liquid separation that removes VS and diverts it to aerobic/solid management should be considered when calculating the VS loading rate into liquid systems.</t>
    </r>
  </si>
  <si>
    <r>
      <t xml:space="preserve">Laguna anaeróbica descubierta 
</t>
    </r>
    <r>
      <rPr>
        <i/>
        <sz val="9"/>
        <color rgb="FF000000"/>
        <rFont val="Arial"/>
        <family val="2"/>
      </rPr>
      <t>Uncovered anaerobic lagoon</t>
    </r>
  </si>
  <si>
    <r>
      <t xml:space="preserve">El juicio del Grupo de Expertos del IPCC utilizando un tiempo de retención de 12 meses y las ecuaciones y parámetros presentados en Mangino et al. (2001). Se debe considerar la separación sólido-líquido que elimina VS y lo desvía hacia el manejo aeróbico/sólido al calcular la tasa de carga de VS en sistemas líquidos. 
</t>
    </r>
    <r>
      <rPr>
        <i/>
        <sz val="9"/>
        <color rgb="FF000000"/>
        <rFont val="Arial"/>
        <family val="2"/>
      </rPr>
      <t>Judgment of IPCC Expert Group utilizing a 12 month retention time and the equations and parameters presented in Mangino et al. (2001). Solid-liquid separation that removes VS and diverts it to aerobic/solid management should be considered when calculating the VS loading rate into liquid systems</t>
    </r>
  </si>
  <si>
    <t xml:space="preserve">Baja fuga, Almacenamiento hermético de alta calidad, mejor industrial completo tecnología </t>
  </si>
  <si>
    <t xml:space="preserve">Low leakage, High quality gastight storage, best complete industrial  technology </t>
  </si>
  <si>
    <t xml:space="preserve">Baja fuga, Tecnología industrial de alta calidad, tecnología de almacenamiento hermético de baja calidad </t>
  </si>
  <si>
    <t>Low leakage, High quality industrial technology, low quality gastight storage technology</t>
  </si>
  <si>
    <r>
      <t xml:space="preserve">Cálculos basados ​​en Haenel et al (2018), descritos en el Anexo 10A.4 del Refinamiento del IPCC de 2019 de las Directrices del IPCC de 2006 para inventarios de gases de efecto invernadero. 
</t>
    </r>
    <r>
      <rPr>
        <i/>
        <sz val="9"/>
        <color rgb="FF000000"/>
        <rFont val="Arial"/>
        <family val="2"/>
      </rPr>
      <t>Calculations based on Haenel et al (2018), outlined in Annex 10A.4 of the IPCC 2019 Refinement to the 2006 IPCC Guidelines for Greenhouse Gas Inventories.</t>
    </r>
  </si>
  <si>
    <r>
      <t xml:space="preserve">Digestor anaeróbico 
</t>
    </r>
    <r>
      <rPr>
        <i/>
        <sz val="9"/>
        <color rgb="FF000000"/>
        <rFont val="Arial"/>
        <family val="2"/>
      </rPr>
      <t>Anaerobic digester</t>
    </r>
  </si>
  <si>
    <t xml:space="preserve">Baja fuga, Tecnología industrial de alta calidad, almacenamiento abierto </t>
  </si>
  <si>
    <t>Low leakage, High quality industrial technology, open storage</t>
  </si>
  <si>
    <t xml:space="preserve">Alta fuga, tecnología de baja calidad, tecnología de almacenamiento hermético de alta calidad </t>
  </si>
  <si>
    <t>High leakage, low quality technology, high quality gastight storage technology</t>
  </si>
  <si>
    <t xml:space="preserve">Alta fuga, tecnología de baja calidad, tecnología de almacenamiento hermético de baja calidad </t>
  </si>
  <si>
    <t xml:space="preserve">Alta fuga, tecnología de baja calidad, almacenamiento abierto </t>
  </si>
  <si>
    <t>High leakage, low quality technology, low quality gastight storage technology</t>
  </si>
  <si>
    <t>High leakage, low quality technology, open storage</t>
  </si>
  <si>
    <r>
      <t xml:space="preserve">Quemado por combustible 
</t>
    </r>
    <r>
      <rPr>
        <i/>
        <sz val="9"/>
        <color rgb="FF000000"/>
        <rFont val="Arial"/>
        <family val="2"/>
      </rPr>
      <t>Burned for fuel</t>
    </r>
  </si>
  <si>
    <r>
      <t xml:space="preserve">El juicio del Grupo de Expertos del IPCC 2006 en combinación con Safley et al. (1992) 
</t>
    </r>
    <r>
      <rPr>
        <i/>
        <sz val="9"/>
        <color rgb="FF000000"/>
        <rFont val="Arial"/>
        <family val="2"/>
      </rPr>
      <t>Judgment of IPCC 2006 Expert Group in combination with Safley et al. (1992)</t>
    </r>
  </si>
  <si>
    <r>
      <t xml:space="preserve">Camas profundas para bovinos y porcinos 
</t>
    </r>
    <r>
      <rPr>
        <i/>
        <sz val="9"/>
        <color rgb="FF000000"/>
        <rFont val="Arial"/>
        <family val="2"/>
      </rPr>
      <t>Cattle and Swine deep bedding</t>
    </r>
  </si>
  <si>
    <r>
      <t xml:space="preserve">&lt; 1 mes
</t>
    </r>
    <r>
      <rPr>
        <i/>
        <sz val="9"/>
        <color rgb="FF000000"/>
        <rFont val="Arial"/>
        <family val="2"/>
      </rPr>
      <t>&lt; 1 month</t>
    </r>
  </si>
  <si>
    <t>&gt; 1 mes
&gt; 1 month</t>
  </si>
  <si>
    <r>
      <t xml:space="preserve">El juicio del Grupo de Expertos del IPCC 2006 en combinación con Moller et al. (2004). Se espera que las emisiones sean similares, y posiblemente mayores, que las del almacenamiento en pozos, según el contenido orgánico y el contenido de humedad.  
</t>
    </r>
    <r>
      <rPr>
        <i/>
        <sz val="9"/>
        <color rgb="FF000000"/>
        <rFont val="Arial"/>
        <family val="2"/>
      </rPr>
      <t>Judgment of IPCC 2006 Expert Group in combination with Moller et al. (2004). Expect emissions to be similar, and possibly greater, than pit storage, depending on organic content and moisture content.</t>
    </r>
  </si>
  <si>
    <r>
      <t xml:space="preserve">Los artículos de los que se derivaron estos valores fueron para ganado vacuno y porcino, pero para otros sistemas de producción animal que utilizan camas profundas, se propone que estos valores se utilicen como sustitutos. Los valores predeterminados sugeridos son equivalentes a los sistemas líquidos con un tiempo de retención de 6 meses. Sentencia del Grupo de Expertos del IPCC 2006 en combinación con Mangino et al. (2001). Los valores son consistentes con los sistemas líquidos. Los valores presentados aquí son consistentes con un tiempo de retención de 6 meses, sin embargo, los compiladores deben tener en cuenta los tiempos de retención específicos del país cuando sea posible.  
</t>
    </r>
    <r>
      <rPr>
        <i/>
        <sz val="9"/>
        <color rgb="FF000000"/>
        <rFont val="Arial"/>
        <family val="2"/>
      </rPr>
      <t>Articles from which these values were derived were for cattle and swine, but for other animal production systems that use deep bedding these values are proposed to be used as surrogates. Suggested default values are equivalent to liquid systems with 6 month retention time. Judgment of IPCC 2006 Expert Group in combination with Mangino et al. (2001). Values are consistent with liquid systems. Values presented here are consistent with a 6 month retention time; however compilers should take into account country-specific retention times when possible.</t>
    </r>
  </si>
  <si>
    <r>
      <t xml:space="preserve">Compostaje - En recipiente 
</t>
    </r>
    <r>
      <rPr>
        <i/>
        <sz val="9"/>
        <color rgb="FF000000"/>
        <rFont val="Arial"/>
        <family val="2"/>
      </rPr>
      <t>Composting - In-vessel</t>
    </r>
  </si>
  <si>
    <r>
      <t xml:space="preserve">El juicio del Grupo de Expertos del IPCC 2006 y Amon et al. (1998a). Los MCF son menos de la mitad del almacenamiento sólido. No depende de la temperatura. </t>
    </r>
    <r>
      <rPr>
        <i/>
        <sz val="9"/>
        <color rgb="FF000000"/>
        <rFont val="Arial"/>
        <family val="2"/>
      </rPr>
      <t xml:space="preserve">
Judgment of IPCC 2006 Expert Group and Amon et al. (1998a). MCFs are less than half of solid storage. Not temperature dependant. </t>
    </r>
  </si>
  <si>
    <r>
      <t xml:space="preserve">Compostaje - Pila estática 
</t>
    </r>
    <r>
      <rPr>
        <i/>
        <sz val="9"/>
        <color rgb="FF000000"/>
        <rFont val="Arial"/>
        <family val="2"/>
      </rPr>
      <t>Composting - Static pile</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</si>
  <si>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Actualización del juicio de expertos basado en Pardo et al. (2015). Reducción estimada del 50% respecto al almacenamiento sólido. Anteriormente se consideraba "No dependiente de la temperatura", pero ahora se ha considerado la influencia de la temperatura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update based on Pardo et al. (2015). Estimated reduction of 50% compared to solid storage. Previously it was considered "Not temperature dependent" but now temperature influence has been considered</t>
    </r>
  </si>
  <si>
    <r>
      <t xml:space="preserve">El juicio del Grupo de Expertos del IPCC y Amon et al. (1998a). Los MCF son un poco menos que el almacenamiento sólido. Menos dependiente de la temperatura. 
</t>
    </r>
    <r>
      <rPr>
        <i/>
        <sz val="9"/>
        <color rgb="FF000000"/>
        <rFont val="Arial"/>
        <family val="2"/>
      </rPr>
      <t>Judgment of IPCC Expert Group and Amon et al. (1998a). MCFs are slightly less than solid storage. Less temperature dependent.</t>
    </r>
  </si>
  <si>
    <r>
      <t xml:space="preserve">Compostaje - Montón intensivo 
</t>
    </r>
    <r>
      <rPr>
        <i/>
        <sz val="9"/>
        <color rgb="FF000000"/>
        <rFont val="Arial"/>
        <family val="2"/>
      </rPr>
      <t>Composting - Intesive windrow</t>
    </r>
  </si>
  <si>
    <r>
      <t xml:space="preserve">Compostaje: hilera pasiva (volteo poco frecuente) 
</t>
    </r>
    <r>
      <rPr>
        <i/>
        <sz val="9"/>
        <color rgb="FF000000"/>
        <rFont val="Arial"/>
        <family val="2"/>
      </rPr>
      <t>Composting - Passive windrow (infrequent turning)</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</si>
  <si>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Actualización del juicio de expertos basado en Pardo et al. (2015). Reducción estimada del 50% respecto al almacenamiento sólido. Los FCM anteriores se modificaron porque podían subestimar las emisiones de CH4.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update based on Pardo et al. (2015). Estimated reduction of 50% compared to solid storage. Previous MCFs have been modified as they could underestimate CH</t>
    </r>
    <r>
      <rPr>
        <i/>
        <vertAlign val="subscript"/>
        <sz val="9"/>
        <color rgb="FF000000"/>
        <rFont val="Arial"/>
        <family val="2"/>
      </rPr>
      <t>4</t>
    </r>
    <r>
      <rPr>
        <i/>
        <sz val="9"/>
        <color rgb="FF000000"/>
        <rFont val="Arial"/>
        <family val="2"/>
      </rPr>
      <t xml:space="preserve"> emissions.</t>
    </r>
  </si>
  <si>
    <r>
      <t xml:space="preserve">a </t>
    </r>
    <r>
      <rPr>
        <sz val="9"/>
        <color rgb="FF000000"/>
        <rFont val="Arial"/>
        <family val="2"/>
      </rPr>
      <t>Las definiciones de los sistemas de manejo de estiércol se proporcionan en la Tabla B.1 </t>
    </r>
  </si>
  <si>
    <t>Tabla XIV.E. Factor de emisión para combustión estacionaria y móvil</t>
  </si>
  <si>
    <r>
      <t xml:space="preserve">Combustible
</t>
    </r>
    <r>
      <rPr>
        <b/>
        <i/>
        <sz val="10"/>
        <rFont val="Arial"/>
        <family val="2"/>
      </rPr>
      <t>Fuel</t>
    </r>
  </si>
  <si>
    <t>Table XIV.E. Emission factor for stationary and mobile combustion</t>
  </si>
  <si>
    <t>Diesel </t>
  </si>
  <si>
    <r>
      <t xml:space="preserve">Petróleo crudo / </t>
    </r>
    <r>
      <rPr>
        <i/>
        <sz val="10"/>
        <color rgb="FF000000"/>
        <rFont val="Arial"/>
        <family val="2"/>
      </rPr>
      <t>Crude Oil</t>
    </r>
  </si>
  <si>
    <r>
      <t xml:space="preserve">Líquidos de gas natural / </t>
    </r>
    <r>
      <rPr>
        <i/>
        <sz val="10"/>
        <color rgb="FF000000"/>
        <rFont val="Arial"/>
        <family val="2"/>
      </rPr>
      <t>Natural gas liquids</t>
    </r>
  </si>
  <si>
    <r>
      <t xml:space="preserve">Gasolina / </t>
    </r>
    <r>
      <rPr>
        <i/>
        <sz val="10"/>
        <color rgb="FF000000"/>
        <rFont val="Arial"/>
        <family val="2"/>
      </rPr>
      <t>Gasoline</t>
    </r>
  </si>
  <si>
    <r>
      <t xml:space="preserve">Queroseno / </t>
    </r>
    <r>
      <rPr>
        <i/>
        <sz val="10"/>
        <color rgb="FF000000"/>
        <rFont val="Arial"/>
        <family val="2"/>
      </rPr>
      <t>Kerosene</t>
    </r>
  </si>
  <si>
    <r>
      <t xml:space="preserve">Combustión estacionaria </t>
    </r>
    <r>
      <rPr>
        <b/>
        <i/>
        <vertAlign val="superscript"/>
        <sz val="10"/>
        <color rgb="FF000000"/>
        <rFont val="Arial"/>
        <family val="2"/>
      </rPr>
      <t xml:space="preserve">a </t>
    </r>
    <r>
      <rPr>
        <b/>
        <i/>
        <sz val="10"/>
        <color rgb="FF000000"/>
        <rFont val="Arial"/>
        <family val="2"/>
      </rPr>
      <t>/</t>
    </r>
    <r>
      <rPr>
        <b/>
        <i/>
        <vertAlign val="superscript"/>
        <sz val="10"/>
        <color rgb="FF000000"/>
        <rFont val="Arial"/>
        <family val="2"/>
      </rPr>
      <t xml:space="preserve"> </t>
    </r>
    <r>
      <rPr>
        <b/>
        <i/>
        <sz val="10"/>
        <color rgb="FF000000"/>
        <rFont val="Arial"/>
        <family val="2"/>
      </rPr>
      <t xml:space="preserve">Stationary Combustion </t>
    </r>
    <r>
      <rPr>
        <b/>
        <i/>
        <vertAlign val="superscript"/>
        <sz val="10"/>
        <color rgb="FF000000"/>
        <rFont val="Arial"/>
        <family val="2"/>
      </rPr>
      <t>a</t>
    </r>
  </si>
  <si>
    <r>
      <t xml:space="preserve">Combustible residual / </t>
    </r>
    <r>
      <rPr>
        <i/>
        <sz val="10"/>
        <color rgb="FF000000"/>
        <rFont val="Arial"/>
        <family val="2"/>
      </rPr>
      <t>Residual fuel oi</t>
    </r>
    <r>
      <rPr>
        <sz val="10"/>
        <color indexed="8"/>
        <rFont val="Arial"/>
        <family val="2"/>
      </rPr>
      <t>l</t>
    </r>
  </si>
  <si>
    <r>
      <t xml:space="preserve">Gas Licuado de Petróleo (GLP) / </t>
    </r>
    <r>
      <rPr>
        <i/>
        <sz val="10"/>
        <color rgb="FF000000"/>
        <rFont val="Arial"/>
        <family val="2"/>
      </rPr>
      <t>Liquified petroleum gas (LPG)</t>
    </r>
  </si>
  <si>
    <r>
      <t xml:space="preserve">Nafta / </t>
    </r>
    <r>
      <rPr>
        <i/>
        <sz val="10"/>
        <color rgb="FF000000"/>
        <rFont val="Arial"/>
        <family val="2"/>
      </rPr>
      <t>Naphtha</t>
    </r>
  </si>
  <si>
    <r>
      <t xml:space="preserve">Lubricantes / </t>
    </r>
    <r>
      <rPr>
        <i/>
        <sz val="10"/>
        <color rgb="FF000000"/>
        <rFont val="Arial"/>
        <family val="2"/>
      </rPr>
      <t>Lubricants</t>
    </r>
  </si>
  <si>
    <r>
      <t xml:space="preserve">Coque de petróleo / </t>
    </r>
    <r>
      <rPr>
        <i/>
        <sz val="10"/>
        <color rgb="FF000000"/>
        <rFont val="Arial"/>
        <family val="2"/>
      </rPr>
      <t>Petroleum coke</t>
    </r>
  </si>
  <si>
    <r>
      <t xml:space="preserve">Carbón de coque / </t>
    </r>
    <r>
      <rPr>
        <i/>
        <sz val="10"/>
        <color rgb="FF000000"/>
        <rFont val="Arial"/>
        <family val="2"/>
      </rPr>
      <t>Coking coal</t>
    </r>
  </si>
  <si>
    <r>
      <t xml:space="preserve">Carbón bituminoso / </t>
    </r>
    <r>
      <rPr>
        <i/>
        <sz val="10"/>
        <color rgb="FF000000"/>
        <rFont val="Arial"/>
        <family val="2"/>
      </rPr>
      <t>Bituminous coal</t>
    </r>
  </si>
  <si>
    <r>
      <t xml:space="preserve">Carbón subbituminoso / </t>
    </r>
    <r>
      <rPr>
        <i/>
        <sz val="10"/>
        <color rgb="FF000000"/>
        <rFont val="Arial"/>
        <family val="2"/>
      </rPr>
      <t>Sub-bituminous coal</t>
    </r>
  </si>
  <si>
    <r>
      <t xml:space="preserve">Gas natural / </t>
    </r>
    <r>
      <rPr>
        <i/>
        <sz val="10"/>
        <color rgb="FF000000"/>
        <rFont val="Arial"/>
        <family val="2"/>
      </rPr>
      <t>Natural gas</t>
    </r>
  </si>
  <si>
    <r>
      <t xml:space="preserve">Aceites usados / </t>
    </r>
    <r>
      <rPr>
        <i/>
        <sz val="10"/>
        <color rgb="FF000000"/>
        <rFont val="Arial"/>
        <family val="2"/>
      </rPr>
      <t>Waste oils</t>
    </r>
  </si>
  <si>
    <r>
      <t xml:space="preserve">Combustión móvil </t>
    </r>
    <r>
      <rPr>
        <b/>
        <vertAlign val="superscript"/>
        <sz val="10"/>
        <color rgb="FF000000"/>
        <rFont val="Arial"/>
        <family val="2"/>
      </rPr>
      <t>b* </t>
    </r>
    <r>
      <rPr>
        <b/>
        <sz val="10"/>
        <color rgb="FF000000"/>
        <rFont val="Arial"/>
        <family val="2"/>
      </rPr>
      <t>/ Mobile combustion</t>
    </r>
    <r>
      <rPr>
        <b/>
        <vertAlign val="superscript"/>
        <sz val="10"/>
        <color rgb="FF000000"/>
        <rFont val="Arial"/>
        <family val="2"/>
      </rPr>
      <t> b*</t>
    </r>
  </si>
  <si>
    <r>
      <t>Vehículos de gasolina / G</t>
    </r>
    <r>
      <rPr>
        <i/>
        <sz val="10"/>
        <color rgb="FF000000"/>
        <rFont val="Arial"/>
        <family val="2"/>
      </rPr>
      <t>asoline vehicles</t>
    </r>
  </si>
  <si>
    <r>
      <t xml:space="preserve">Vehículos de gasolina/diésel / </t>
    </r>
    <r>
      <rPr>
        <i/>
        <sz val="10"/>
        <color rgb="FF000000"/>
        <rFont val="Arial"/>
        <family val="2"/>
      </rPr>
      <t>Gas/Diesel vehicles</t>
    </r>
  </si>
  <si>
    <r>
      <t xml:space="preserve">Vehículos de gas licuado de petróleo (GLP) / </t>
    </r>
    <r>
      <rPr>
        <i/>
        <sz val="10"/>
        <color rgb="FF000000"/>
        <rFont val="Arial"/>
        <family val="2"/>
      </rPr>
      <t>Liquified petroleum gas (LPG) vehicles</t>
    </r>
  </si>
  <si>
    <r>
      <t xml:space="preserve">Vehículos de gas natural comprimido (GNC) / </t>
    </r>
    <r>
      <rPr>
        <i/>
        <sz val="10"/>
        <color rgb="FF000000"/>
        <rFont val="Arial"/>
        <family val="2"/>
      </rPr>
      <t>Compressed natural gas (CNG) vehicles</t>
    </r>
  </si>
  <si>
    <r>
      <t xml:space="preserve">Vehículos de gas natural licuado (GNL) / </t>
    </r>
    <r>
      <rPr>
        <i/>
        <sz val="10"/>
        <color rgb="FF000000"/>
        <rFont val="Arial"/>
        <family val="2"/>
      </rPr>
      <t>Liquified natural gas (LNG) vehicles</t>
    </r>
  </si>
  <si>
    <r>
      <t xml:space="preserve">Aeronaves (queroseno) / </t>
    </r>
    <r>
      <rPr>
        <i/>
        <sz val="10"/>
        <color rgb="FF000000"/>
        <rFont val="Arial"/>
        <family val="2"/>
      </rPr>
      <t>Aircraft (kerosene)</t>
    </r>
  </si>
  <si>
    <t>Emission Factors
[kg CO2/GJ]</t>
  </si>
  <si>
    <r>
      <rPr>
        <b/>
        <sz val="9"/>
        <color rgb="FF000000"/>
        <rFont val="Arial"/>
        <family val="2"/>
      </rPr>
      <t>a</t>
    </r>
    <r>
      <rPr>
        <vertAlign val="superscript"/>
        <sz val="9"/>
        <color rgb="FF000000"/>
        <rFont val="Arial"/>
        <family val="2"/>
      </rPr>
      <t xml:space="preserve"> </t>
    </r>
    <r>
      <rPr>
        <sz val="9"/>
        <color rgb="FF000000"/>
        <rFont val="Arial"/>
        <family val="2"/>
      </rPr>
      <t>IPCC, 2006. Directrices del IPCC para los inventarios nacionales de gases de efecto invernadero, Volumen 2, Capítulo 2, Combustión estacionaria, Tabla 2.5, páginas 2.22-2.23. Tomar en cuenta que no se hicieron correcciones en el IPCC 2019 Refinamiento. </t>
    </r>
  </si>
  <si>
    <r>
      <rPr>
        <b/>
        <i/>
        <sz val="9"/>
        <rFont val="Arial"/>
        <family val="2"/>
      </rPr>
      <t>a</t>
    </r>
    <r>
      <rPr>
        <i/>
        <sz val="9"/>
        <rFont val="Arial"/>
        <family val="2"/>
      </rPr>
      <t xml:space="preserve"> IPCC, 2006. IPCC Guidelines for National Greenhouse Gas Inventories, Volume 2, Chapter 2, Stationary Combustion, Table 2.5, pages 2.22-2.23. Note that there were no corrections made in the IPCC 2019 Refinement</t>
    </r>
  </si>
  <si>
    <r>
      <rPr>
        <b/>
        <sz val="9"/>
        <color rgb="FF000000"/>
        <rFont val="Arial"/>
        <family val="2"/>
      </rPr>
      <t>b</t>
    </r>
    <r>
      <rPr>
        <vertAlign val="superscript"/>
        <sz val="9"/>
        <color rgb="FF000000"/>
        <rFont val="Arial"/>
        <family val="2"/>
      </rPr>
      <t xml:space="preserve"> </t>
    </r>
    <r>
      <rPr>
        <sz val="9"/>
        <color rgb="FF000000"/>
        <rFont val="Arial"/>
        <family val="2"/>
      </rPr>
      <t>IPCC, 2006. Directrices del IPCC para los inventarios nacionales de gases de efecto invernadero, Volumen 2, Capítulo 3, Combustión móvil, Tabla 3.2.1, página 3.16. Tomar en cuenta que no se hicieron correcciones en el IPCC 2019 Refinamiento. </t>
    </r>
  </si>
  <si>
    <t xml:space="preserve">*Para consultar valores específicos por modelo de auto en República Dominicana ver: https://dgii.gov.do/vehiculosMotor/consultas/Paginas/valoresCO2.aspx </t>
  </si>
  <si>
    <t>* To consult specific values by car model in the Dominican Republic see: https://dgii.gov.do/vehiculosMotor/consultas/Paginas/valoresCO2.aspx</t>
  </si>
  <si>
    <r>
      <rPr>
        <b/>
        <i/>
        <sz val="9"/>
        <color rgb="FF000000"/>
        <rFont val="Arial"/>
        <family val="2"/>
      </rPr>
      <t xml:space="preserve">b </t>
    </r>
    <r>
      <rPr>
        <i/>
        <sz val="9"/>
        <color rgb="FF000000"/>
        <rFont val="Arial"/>
        <family val="2"/>
      </rPr>
      <t>IPCC, 2006. IPCC Guidelines for National Greenhouse Gas Inventories, Volume 2, Chapter 3, Mobile Combustion, Table 3.2.1, page 3.16. Note that there were no corrections made in the IPCC 2019 Refinement</t>
    </r>
  </si>
  <si>
    <t>Tabla XIV.F. Valores caloríficos netos de combustibles fósiles</t>
  </si>
  <si>
    <t>Tabla XIV.F. Fossil Fuel Net Calorific Values</t>
  </si>
  <si>
    <r>
      <t xml:space="preserve">Gas licuado de petróleo 
</t>
    </r>
    <r>
      <rPr>
        <i/>
        <sz val="10"/>
        <rFont val="Arial"/>
        <family val="2"/>
      </rPr>
      <t>Petroleum liquid gas</t>
    </r>
  </si>
  <si>
    <r>
      <t xml:space="preserve">Gasolina 
</t>
    </r>
    <r>
      <rPr>
        <i/>
        <sz val="10"/>
        <rFont val="Arial"/>
        <family val="2"/>
      </rPr>
      <t>Gasoline</t>
    </r>
  </si>
  <si>
    <r>
      <t xml:space="preserve">Gas natural 
</t>
    </r>
    <r>
      <rPr>
        <i/>
        <sz val="10"/>
        <rFont val="Arial"/>
        <family val="2"/>
      </rPr>
      <t>Natural Gas</t>
    </r>
  </si>
  <si>
    <t>Gasoil </t>
  </si>
  <si>
    <t>Fuente: CNE, 2006. Diagnóstico y definición de las líneas estratégicas sobre el uso racional de la energía en República Dominicana. Proyecto de Asistencia Técnica para el Sector Energético </t>
  </si>
  <si>
    <r>
      <t xml:space="preserve">Source: CNE, 2006. </t>
    </r>
    <r>
      <rPr>
        <i/>
        <sz val="9"/>
        <color theme="1"/>
        <rFont val="Arial"/>
        <family val="2"/>
      </rPr>
      <t>Diagnosis and definition of the strategic lines on the rational use of energy in the Dominican Republic</t>
    </r>
    <r>
      <rPr>
        <sz val="9"/>
        <color theme="1"/>
        <rFont val="Arial"/>
        <family val="2"/>
      </rPr>
      <t>. Technical Assistance Project for the Energy Sector</t>
    </r>
  </si>
  <si>
    <t>Table XIV.G. Default Values by Destruction Devices for Biogas Destruction Efficiency</t>
  </si>
  <si>
    <r>
      <t xml:space="preserve">Dispositivo de Destrucción de Biogás
</t>
    </r>
    <r>
      <rPr>
        <b/>
        <i/>
        <sz val="10"/>
        <rFont val="Arial"/>
        <family val="2"/>
      </rPr>
      <t>Biogas Destruction Device</t>
    </r>
  </si>
  <si>
    <r>
      <t xml:space="preserve">Eficiencia de Destrucción de Biogás (EDB)*
</t>
    </r>
    <r>
      <rPr>
        <b/>
        <i/>
        <sz val="10"/>
        <rFont val="Arial"/>
        <family val="2"/>
      </rPr>
      <t>Biogas Destruction Efficiency (BDE)*</t>
    </r>
  </si>
  <si>
    <t>1,3</t>
  </si>
  <si>
    <t>1,2</t>
  </si>
  <si>
    <r>
      <rPr>
        <b/>
        <sz val="9"/>
        <color rgb="FF000000"/>
        <rFont val="Arial"/>
        <family val="2"/>
      </rPr>
      <t>1</t>
    </r>
    <r>
      <rPr>
        <sz val="9"/>
        <color rgb="FF000000"/>
        <rFont val="Arial"/>
        <family val="2"/>
      </rPr>
      <t xml:space="preserve"> Directrices del IPCC de 2006, volumen 4, capítulo 10, pág. 10.43. Tomar en cuenta que no se hicieron correcciones en el IPCC 2019 Refinamiento. </t>
    </r>
  </si>
  <si>
    <r>
      <rPr>
        <b/>
        <sz val="9"/>
        <color theme="1"/>
        <rFont val="Arial"/>
        <family val="2"/>
      </rPr>
      <t>2</t>
    </r>
    <r>
      <rPr>
        <sz val="9"/>
        <color theme="1"/>
        <rFont val="Arial"/>
        <family val="2"/>
      </rPr>
      <t xml:space="preserve"> Seebold, J.G., et al., Reaction Efficiency of Industrial Flares, 2003</t>
    </r>
  </si>
  <si>
    <r>
      <rPr>
        <b/>
        <sz val="9"/>
        <color rgb="FF000000"/>
        <rFont val="Arial"/>
        <family val="2"/>
      </rPr>
      <t>3</t>
    </r>
    <r>
      <rPr>
        <sz val="9"/>
        <color rgb="FF000000"/>
        <rFont val="Arial"/>
        <family val="2"/>
      </rPr>
      <t xml:space="preserve"> Las eficiencias de destrucción predeterminadas para esta fuente se basan en un conjunto preliminar de datos de pruebas de fuentes reales proporcionados por el Distrito de Gestión de la Calidad del Aire del Área de la Bahía. Los valores predeterminados de eficiencia de destrucción son el percentil veinticinco de los datos proporcionados o 0,995, el menor. Estas eficiencias de destrucción predeterminadas pueden actualizarse a medida que se ponen a disposición de la Reserva más datos de prueba de fuente. </t>
    </r>
  </si>
  <si>
    <r>
      <rPr>
        <b/>
        <sz val="9"/>
        <color rgb="FF000000"/>
        <rFont val="Arial"/>
        <family val="2"/>
      </rPr>
      <t>4</t>
    </r>
    <r>
      <rPr>
        <sz val="9"/>
        <color rgb="FF000000"/>
        <rFont val="Arial"/>
        <family val="2"/>
      </rPr>
      <t xml:space="preserve"> Las Directrices del IPCC revisadas de 1996 para los Inventarios Nacionales de Gases de Efecto Invernadero dan un valor estándar para la fracción de carbono oxidado para el gas destruido del 99,5% (Manual de referencia, Tabla 1.6, página 1.29). También da un valor para las emisiones del procesamiento, transmisión y distribución de gas que sería una estimación muy conservadora de las pérdidas en la tubería y de las fugas en el usuario final (Manual de referencia, Tabla 1.58, página 1.121). Estas emisiones se dan como 118.000 kgCH4/PJ en base al consumo de gas, que es del 0,6%. Las fugas en los sectores residencial y comercial se expresan de 0 a 87.000 kgCH4/PJ, lo que equivale a un 0,4%, y en plantas industriales y centrales eléctricas las pérdidas son de 0 a 175.000 kg/CH4/PJ, lo que equivale a un 0,8%. Estas estimaciones de fugas se combinan y multiplican. </t>
    </r>
  </si>
  <si>
    <r>
      <rPr>
        <b/>
        <i/>
        <sz val="9"/>
        <color theme="1"/>
        <rFont val="Arial"/>
        <family val="2"/>
      </rPr>
      <t>4</t>
    </r>
    <r>
      <rPr>
        <i/>
        <sz val="9"/>
        <color theme="1"/>
        <rFont val="Arial"/>
        <family val="2"/>
      </rPr>
      <t xml:space="preserve"> Revised 1996 IPCC Guidelines for National Greenhouse Gas Inventories gives a standard value for the fraction of carbon oxidized for gas destroyed of 99.5% (Reference Manual, Table 1.6, page 1.29). It also gives a value for emissions from processing, transmission and distribution of gas which would be a very conservative estimate for losses in the pipeline and for leakage at the end user (Reference Manual, Table 1.58, page 1.121). These emissions are given as 118,000 kgCH4/PJ based on gas consumption, which is 0.6%. Leakage in the residential and commercial sectors is stated to be 0 to 87,000 kgCH4/PJ, which equates to 0.4%, and in industrial plants and power station the losses are 0 to 175,000 kg/CH4/PJ, which is 0.8%. These leakage estimates are compounded and multiplied. The methane destruction efficiency for landfill gas injected into the natural gas transmission and distribution system can now be calculated as the product of these three efficiency factors, giving a total efficiency of (99.5% * 99.4% * 99.6%) 98.5% for residential and commercial sector users, and (99.5% * 99.4% * 99.2%) 98.1% for industrial plants and power stations.</t>
    </r>
  </si>
  <si>
    <r>
      <rPr>
        <b/>
        <i/>
        <sz val="9"/>
        <color theme="1"/>
        <rFont val="Arial"/>
        <family val="2"/>
      </rPr>
      <t>3</t>
    </r>
    <r>
      <rPr>
        <i/>
        <sz val="9"/>
        <color theme="1"/>
        <rFont val="Arial"/>
        <family val="2"/>
      </rPr>
      <t xml:space="preserve"> The default destruction efficiencies for this source are based on a preliminary set of actual source test data provided by the Bay Area Air Quality Management District. Default destruction efficiency values are the lesser of the twenty fifth percentile of the data provided or 0.995. These default destruction efficiencies may be updated as more source test data is made available to the Reserve.</t>
    </r>
  </si>
  <si>
    <r>
      <rPr>
        <b/>
        <i/>
        <sz val="9"/>
        <color rgb="FF000000"/>
        <rFont val="Arial"/>
        <family val="2"/>
      </rPr>
      <t xml:space="preserve">2 </t>
    </r>
    <r>
      <rPr>
        <i/>
        <sz val="9"/>
        <color rgb="FF000000"/>
        <rFont val="Arial"/>
        <family val="2"/>
      </rPr>
      <t>Seebold, JG, et al., Eficiencia de reacción de bengalas industriales, 2003 </t>
    </r>
  </si>
  <si>
    <r>
      <rPr>
        <b/>
        <i/>
        <sz val="9"/>
        <color theme="1"/>
        <rFont val="Arial"/>
        <family val="2"/>
      </rPr>
      <t>1</t>
    </r>
    <r>
      <rPr>
        <i/>
        <sz val="9"/>
        <color theme="1"/>
        <rFont val="Arial"/>
        <family val="2"/>
      </rPr>
      <t xml:space="preserve"> IPCC 2006 Guidelines volume 4, chapter 10, p. 10.43. Note no changes in the 2019 IPCC Refinement Report.</t>
    </r>
  </si>
  <si>
    <t>Global Warming Potential (GWP) - IPCC 5th Assessment Report</t>
  </si>
  <si>
    <t>Potencial de Clentamiento Global (PCG) - IPCC 5th Assessment Report</t>
  </si>
  <si>
    <t>Global warming potential of methane as carbon dioxide equivalent</t>
  </si>
  <si>
    <r>
      <t xml:space="preserve">Metano / </t>
    </r>
    <r>
      <rPr>
        <i/>
        <sz val="10"/>
        <rFont val="Arial"/>
        <family val="2"/>
      </rPr>
      <t>Methane</t>
    </r>
  </si>
  <si>
    <r>
      <t>Poder Calorífico Neto [GJ/m</t>
    </r>
    <r>
      <rPr>
        <b/>
        <vertAlign val="superscript"/>
        <sz val="10"/>
        <rFont val="Arial"/>
        <family val="2"/>
      </rPr>
      <t>3</t>
    </r>
    <r>
      <rPr>
        <b/>
        <sz val="10"/>
        <rFont val="Arial"/>
        <family val="2"/>
      </rPr>
      <t xml:space="preserve">]
</t>
    </r>
    <r>
      <rPr>
        <b/>
        <i/>
        <sz val="10"/>
        <rFont val="Arial"/>
        <family val="2"/>
      </rPr>
      <t>Net calorific value</t>
    </r>
  </si>
  <si>
    <r>
      <t xml:space="preserve">Otros tipos de combustibles (C)
</t>
    </r>
    <r>
      <rPr>
        <b/>
        <i/>
        <sz val="10"/>
        <rFont val="Arial"/>
        <family val="2"/>
      </rPr>
      <t>Other liquid fuel types</t>
    </r>
  </si>
  <si>
    <r>
      <t xml:space="preserve">Tipo de combustibles líquidos (C)
</t>
    </r>
    <r>
      <rPr>
        <b/>
        <i/>
        <sz val="10"/>
        <rFont val="Arial"/>
        <family val="2"/>
      </rPr>
      <t>Common liquid fuel types</t>
    </r>
  </si>
  <si>
    <t>*Para consultar valores específicos por modelo de auto en República Dominicana ver: https://dgii.gov.do/vehiculosMotor/consultas/Paginas/valoresCO2.aspx</t>
  </si>
  <si>
    <r>
      <t xml:space="preserve">* </t>
    </r>
    <r>
      <rPr>
        <i/>
        <sz val="10"/>
        <color theme="1"/>
        <rFont val="Arial"/>
        <family val="2"/>
      </rPr>
      <t>To consult specific values by car model in the Dominican Republic see: https://dgii.gov.do/vehiculosMotor/consultas/Paginas/valoresCO2.aspx</t>
    </r>
  </si>
  <si>
    <t>III.K.ii.  Carbon Dioxide Baseline Emissions Input Data for Stationary Combustion Sources: CO2, the MSC</t>
  </si>
  <si>
    <t>Enter the source, fuel type, annual fuel quantity (QF), and specific emission factors (EFC02) for all on-site baseline stationary combustion sources. Refer to Worksheet XIV Table XIV.E for default EFC02 values for stationary sources.</t>
  </si>
  <si>
    <r>
      <t xml:space="preserve">Fuente estacionaria
</t>
    </r>
    <r>
      <rPr>
        <b/>
        <i/>
        <sz val="10"/>
        <rFont val="Arial"/>
        <family val="2"/>
      </rPr>
      <t>Stationary Source</t>
    </r>
  </si>
  <si>
    <r>
      <t xml:space="preserve">Tipo de combustibles líquidos (C)
</t>
    </r>
    <r>
      <rPr>
        <b/>
        <i/>
        <sz val="10"/>
        <rFont val="Arial"/>
        <family val="2"/>
      </rPr>
      <t>Liquid fuel types</t>
    </r>
  </si>
  <si>
    <r>
      <t xml:space="preserve">Otros tipos de combustibles (c)
</t>
    </r>
    <r>
      <rPr>
        <b/>
        <i/>
        <sz val="10"/>
        <rFont val="Arial"/>
        <family val="2"/>
      </rPr>
      <t>Other types of fuels</t>
    </r>
  </si>
  <si>
    <r>
      <t xml:space="preserve">Tipo de combustibles gaseosos (C)
</t>
    </r>
    <r>
      <rPr>
        <b/>
        <i/>
        <sz val="10"/>
        <rFont val="Arial"/>
        <family val="2"/>
      </rPr>
      <t>Gaseous fuel types</t>
    </r>
  </si>
  <si>
    <t>III.K.iii. Baseline Carbon Dioxide Emissions Input Data for Electricity Consumption: CO2, MSC</t>
  </si>
  <si>
    <t>Enter the amount of electricity consumed in the baseline scenario only for sources directly affected by the project activity. Enter 0 if there are no relevant sources of electricity consumption.</t>
  </si>
  <si>
    <r>
      <t xml:space="preserve">Red eléctrica
</t>
    </r>
    <r>
      <rPr>
        <b/>
        <i/>
        <sz val="10"/>
        <rFont val="Arial"/>
        <family val="2"/>
      </rPr>
      <t>Power Grid</t>
    </r>
  </si>
  <si>
    <r>
      <t xml:space="preserve">Notas/comentarios del Usuario:
</t>
    </r>
    <r>
      <rPr>
        <i/>
        <sz val="10"/>
        <rFont val="Arial"/>
        <family val="2"/>
      </rPr>
      <t>User notes and comments:</t>
    </r>
  </si>
  <si>
    <t>Worksheet IV: Data Entry for Project Emissions</t>
  </si>
  <si>
    <r>
      <t xml:space="preserve">Leyenda / </t>
    </r>
    <r>
      <rPr>
        <b/>
        <i/>
        <sz val="10"/>
        <rFont val="Arial"/>
        <family val="2"/>
      </rPr>
      <t>Legend</t>
    </r>
    <r>
      <rPr>
        <b/>
        <sz val="10"/>
        <rFont val="Arial"/>
        <family val="2"/>
      </rPr>
      <t>:</t>
    </r>
  </si>
  <si>
    <r>
      <t xml:space="preserve">Naranja / </t>
    </r>
    <r>
      <rPr>
        <b/>
        <i/>
        <sz val="10"/>
        <rFont val="Arial"/>
        <family val="2"/>
      </rPr>
      <t>Orange</t>
    </r>
  </si>
  <si>
    <r>
      <t xml:space="preserve">Amarillo pálido / </t>
    </r>
    <r>
      <rPr>
        <b/>
        <i/>
        <sz val="10"/>
        <rFont val="Arial"/>
        <family val="2"/>
      </rPr>
      <t>Pale yellow</t>
    </r>
  </si>
  <si>
    <r>
      <t xml:space="preserve">Valores específicos del sitio a ser introducidos por el usuario / </t>
    </r>
    <r>
      <rPr>
        <i/>
        <sz val="10"/>
        <rFont val="Arial"/>
        <family val="2"/>
      </rPr>
      <t xml:space="preserve">Site-specific values to be entered by the user	</t>
    </r>
  </si>
  <si>
    <r>
      <t xml:space="preserve">Automáticamente extraído de otras hojas de cálculo / </t>
    </r>
    <r>
      <rPr>
        <i/>
        <sz val="10"/>
        <rFont val="Arial"/>
        <family val="2"/>
      </rPr>
      <t xml:space="preserve">Automatically extracted from other spreadsheets	</t>
    </r>
  </si>
  <si>
    <r>
      <t xml:space="preserve">Valores por defecto / extraídos de tablas / </t>
    </r>
    <r>
      <rPr>
        <i/>
        <sz val="10"/>
        <rFont val="Arial"/>
        <family val="2"/>
      </rPr>
      <t xml:space="preserve">Default values / extracted from tables	</t>
    </r>
  </si>
  <si>
    <r>
      <t xml:space="preserve">Cálculos automáticos / </t>
    </r>
    <r>
      <rPr>
        <i/>
        <sz val="10"/>
        <rFont val="Arial"/>
        <family val="2"/>
      </rPr>
      <t>Calculated automatically</t>
    </r>
  </si>
  <si>
    <r>
      <t xml:space="preserve">Notas/Comentarios del Usuario / </t>
    </r>
    <r>
      <rPr>
        <i/>
        <sz val="10"/>
        <rFont val="Arial"/>
        <family val="2"/>
      </rPr>
      <t>User notes/comments</t>
    </r>
  </si>
  <si>
    <t>IV.A. Inputs for the Biogas Control System [Protocol - Equation 5.6] Calculated in Spreadsheet VIII</t>
  </si>
  <si>
    <t>To ensure that the biogas system control data is entered correctly, carefully complete the following sections as instructed.</t>
  </si>
  <si>
    <t>IV.A.i: Monthly Methane Collection and Destruction Efficiency of the Biogas Control System</t>
  </si>
  <si>
    <t>Enter the monthly values as decimal places of the biogas control system (BCS) for both collection efficiency (BCE) and methane destruction efficiency (BDE). The default value for BCE is 85%. Project developers can justify a higher BCE by verifiable evidence. See footnote 31 of the Protocol.</t>
  </si>
  <si>
    <t>Introduzca los valores mensuales como decimales del sistema de control de biogás (SCB) tanto de la eficiencia de recolección (BCE) y la eficiencia de destrucción de metano (BDE). El valor por defecto de BCE es 85%. Los desarrolladores de proyectos pueden justificar un BCE mayor por medio de pruebas comprobables. Ver pie de página 31 del Protocolo.</t>
  </si>
  <si>
    <r>
      <t>Fecha de inicio del proyecto /</t>
    </r>
    <r>
      <rPr>
        <i/>
        <sz val="10"/>
        <rFont val="Arial"/>
        <family val="2"/>
      </rPr>
      <t xml:space="preserve"> Reporting Period Start Date</t>
    </r>
    <r>
      <rPr>
        <sz val="10"/>
        <rFont val="Arial"/>
        <family val="2"/>
      </rPr>
      <t xml:space="preserve"> (mm/dd/yyyy)</t>
    </r>
  </si>
  <si>
    <r>
      <t>*</t>
    </r>
    <r>
      <rPr>
        <b/>
        <i/>
        <sz val="10"/>
        <color theme="1"/>
        <rFont val="Arial"/>
        <family val="2"/>
      </rPr>
      <t xml:space="preserve"> Important guidance for determining the monthly methane destruction efficiency (BDE):</t>
    </r>
    <r>
      <rPr>
        <i/>
        <sz val="10"/>
        <color theme="1"/>
        <rFont val="Arial"/>
        <family val="2"/>
      </rPr>
      <t xml:space="preserve"> The monthly BDE value should be the average monthly mean of all destruction devices used in a month (see Equation 5.6 for guidance). Project developers have the following options:</t>
    </r>
    <r>
      <rPr>
        <b/>
        <i/>
        <sz val="10"/>
        <color theme="1"/>
        <rFont val="Arial"/>
        <family val="2"/>
      </rPr>
      <t xml:space="preserve"> a)</t>
    </r>
    <r>
      <rPr>
        <i/>
        <sz val="10"/>
        <color theme="1"/>
        <rFont val="Arial"/>
        <family val="2"/>
      </rPr>
      <t xml:space="preserve"> use the default methane destruction efficiencies provided in Worksheet XIV. Table XIV.F, or</t>
    </r>
    <r>
      <rPr>
        <b/>
        <i/>
        <sz val="10"/>
        <color theme="1"/>
        <rFont val="Arial"/>
        <family val="2"/>
      </rPr>
      <t xml:space="preserve"> b)</t>
    </r>
    <r>
      <rPr>
        <i/>
        <sz val="10"/>
        <color theme="1"/>
        <rFont val="Arial"/>
        <family val="2"/>
      </rPr>
      <t xml:space="preserve"> the site-specific methane destruction efficiencies as provided by an accredited state or local agency provider of source testing services, for each of the combustion devices used in the project.</t>
    </r>
    <r>
      <rPr>
        <b/>
        <i/>
        <sz val="10"/>
        <color rgb="FFFF0000"/>
        <rFont val="Arial"/>
        <family val="2"/>
      </rPr>
      <t xml:space="preserve"> If you choose option "a" complete columns C, E,G and I of the table below and you will automatically get the efficiency in fraction of the particular destruction devices in cells D, F, H and J. If you choose option "b" directly enter the efficiency values of the particular destruction devices in cells D, F, H and J. </t>
    </r>
    <r>
      <rPr>
        <i/>
        <sz val="10"/>
        <color theme="1"/>
        <rFont val="Arial"/>
        <family val="2"/>
      </rPr>
      <t>Use the comments section to justify your choice.</t>
    </r>
  </si>
  <si>
    <r>
      <t xml:space="preserve">BCE (fracción)
</t>
    </r>
    <r>
      <rPr>
        <b/>
        <i/>
        <sz val="10"/>
        <rFont val="Arial"/>
        <family val="2"/>
      </rPr>
      <t>User Specified BCE (fraction)</t>
    </r>
  </si>
  <si>
    <r>
      <rPr>
        <b/>
        <sz val="10"/>
        <rFont val="Arial"/>
        <family val="2"/>
      </rPr>
      <t xml:space="preserve">Defecto de BCE (fracción) </t>
    </r>
    <r>
      <rPr>
        <b/>
        <i/>
        <sz val="10"/>
        <rFont val="Arial"/>
        <family val="2"/>
      </rPr>
      <t xml:space="preserve">
Default BCE (fraction)</t>
    </r>
  </si>
  <si>
    <r>
      <t xml:space="preserve">Dispositivo de destrucción particular 1
</t>
    </r>
    <r>
      <rPr>
        <b/>
        <i/>
        <sz val="10"/>
        <rFont val="Arial"/>
        <family val="2"/>
      </rPr>
      <t>Destruction Device 1</t>
    </r>
  </si>
  <si>
    <r>
      <t xml:space="preserve">Dispositivo de destrucción particular 2
</t>
    </r>
    <r>
      <rPr>
        <b/>
        <i/>
        <sz val="10"/>
        <rFont val="Arial"/>
        <family val="2"/>
      </rPr>
      <t>Destruction Device 2</t>
    </r>
  </si>
  <si>
    <r>
      <t>BDE</t>
    </r>
    <r>
      <rPr>
        <b/>
        <vertAlign val="subscript"/>
        <sz val="10"/>
        <rFont val="Arial"/>
        <family val="2"/>
      </rPr>
      <t>DD</t>
    </r>
    <r>
      <rPr>
        <b/>
        <sz val="10"/>
        <rFont val="Arial"/>
        <family val="2"/>
      </rPr>
      <t xml:space="preserve"> dispositivo 1 
</t>
    </r>
    <r>
      <rPr>
        <b/>
        <i/>
        <sz val="10"/>
        <rFont val="Arial"/>
        <family val="2"/>
      </rPr>
      <t>BDE</t>
    </r>
    <r>
      <rPr>
        <b/>
        <i/>
        <vertAlign val="subscript"/>
        <sz val="10"/>
        <rFont val="Arial"/>
        <family val="2"/>
      </rPr>
      <t xml:space="preserve">DD </t>
    </r>
    <r>
      <rPr>
        <b/>
        <i/>
        <sz val="10"/>
        <rFont val="Arial"/>
        <family val="2"/>
      </rPr>
      <t>Device 1</t>
    </r>
  </si>
  <si>
    <r>
      <t>BDE</t>
    </r>
    <r>
      <rPr>
        <b/>
        <vertAlign val="subscript"/>
        <sz val="10"/>
        <rFont val="Arial"/>
        <family val="2"/>
      </rPr>
      <t>DD</t>
    </r>
    <r>
      <rPr>
        <b/>
        <sz val="10"/>
        <rFont val="Arial"/>
        <family val="2"/>
      </rPr>
      <t xml:space="preserve"> dispositivo 2
</t>
    </r>
    <r>
      <rPr>
        <b/>
        <i/>
        <sz val="10"/>
        <rFont val="Arial"/>
        <family val="2"/>
      </rPr>
      <t>BDE</t>
    </r>
    <r>
      <rPr>
        <b/>
        <i/>
        <vertAlign val="subscript"/>
        <sz val="10"/>
        <rFont val="Arial"/>
        <family val="2"/>
      </rPr>
      <t xml:space="preserve">DD </t>
    </r>
    <r>
      <rPr>
        <b/>
        <i/>
        <sz val="10"/>
        <rFont val="Arial"/>
        <family val="2"/>
      </rPr>
      <t>Device 2</t>
    </r>
  </si>
  <si>
    <r>
      <t xml:space="preserve">Dispositivo de destrucción particular 3
</t>
    </r>
    <r>
      <rPr>
        <b/>
        <i/>
        <sz val="10"/>
        <rFont val="Arial"/>
        <family val="2"/>
      </rPr>
      <t>Destruction Device 3</t>
    </r>
  </si>
  <si>
    <r>
      <t>BDE</t>
    </r>
    <r>
      <rPr>
        <b/>
        <vertAlign val="subscript"/>
        <sz val="10"/>
        <rFont val="Arial"/>
        <family val="2"/>
      </rPr>
      <t>DD</t>
    </r>
    <r>
      <rPr>
        <b/>
        <sz val="10"/>
        <rFont val="Arial"/>
        <family val="2"/>
      </rPr>
      <t xml:space="preserve"> dispositivo 3
</t>
    </r>
    <r>
      <rPr>
        <b/>
        <i/>
        <sz val="10"/>
        <rFont val="Arial"/>
        <family val="2"/>
      </rPr>
      <t>BDE</t>
    </r>
    <r>
      <rPr>
        <b/>
        <i/>
        <vertAlign val="subscript"/>
        <sz val="10"/>
        <rFont val="Arial"/>
        <family val="2"/>
      </rPr>
      <t xml:space="preserve">DD </t>
    </r>
    <r>
      <rPr>
        <b/>
        <i/>
        <sz val="10"/>
        <rFont val="Arial"/>
        <family val="2"/>
      </rPr>
      <t>Device 3</t>
    </r>
  </si>
  <si>
    <r>
      <t xml:space="preserve">Dispositivo de destrucción particular 4
</t>
    </r>
    <r>
      <rPr>
        <b/>
        <i/>
        <sz val="10"/>
        <rFont val="Arial"/>
        <family val="2"/>
      </rPr>
      <t>Destruction Device 4</t>
    </r>
  </si>
  <si>
    <r>
      <t>BDE</t>
    </r>
    <r>
      <rPr>
        <b/>
        <vertAlign val="subscript"/>
        <sz val="10"/>
        <rFont val="Arial"/>
        <family val="2"/>
      </rPr>
      <t>DD</t>
    </r>
    <r>
      <rPr>
        <b/>
        <sz val="10"/>
        <rFont val="Arial"/>
        <family val="2"/>
      </rPr>
      <t xml:space="preserve"> dispositivo 4
</t>
    </r>
    <r>
      <rPr>
        <b/>
        <i/>
        <sz val="10"/>
        <rFont val="Arial"/>
        <family val="2"/>
      </rPr>
      <t>BDE</t>
    </r>
    <r>
      <rPr>
        <b/>
        <i/>
        <vertAlign val="subscript"/>
        <sz val="10"/>
        <rFont val="Arial"/>
        <family val="2"/>
      </rPr>
      <t xml:space="preserve">DD </t>
    </r>
    <r>
      <rPr>
        <b/>
        <i/>
        <sz val="10"/>
        <rFont val="Arial"/>
        <family val="2"/>
      </rPr>
      <t>Device 4</t>
    </r>
  </si>
  <si>
    <r>
      <t xml:space="preserve">Llama abierta / </t>
    </r>
    <r>
      <rPr>
        <i/>
        <sz val="10"/>
        <color rgb="FF333333"/>
        <rFont val="Arial"/>
        <family val="2"/>
      </rPr>
      <t>Open flare</t>
    </r>
  </si>
  <si>
    <r>
      <t xml:space="preserve">Llama encerrada / </t>
    </r>
    <r>
      <rPr>
        <i/>
        <sz val="10"/>
        <color rgb="FF333333"/>
        <rFont val="Arial"/>
        <family val="2"/>
      </rPr>
      <t>Enclosed flare</t>
    </r>
  </si>
  <si>
    <r>
      <t xml:space="preserve">Quema magra motor de combustión interno / </t>
    </r>
    <r>
      <rPr>
        <i/>
        <sz val="10"/>
        <color rgb="FF333333"/>
        <rFont val="Arial"/>
        <family val="2"/>
      </rPr>
      <t>Lean-burn internal combustion engine</t>
    </r>
  </si>
  <si>
    <r>
      <t xml:space="preserve">Quema grande de motor de combustión interno / </t>
    </r>
    <r>
      <rPr>
        <i/>
        <sz val="10"/>
        <color rgb="FF333333"/>
        <rFont val="Arial"/>
        <family val="2"/>
      </rPr>
      <t>Rich-burn internal combustion engine</t>
    </r>
  </si>
  <si>
    <r>
      <t xml:space="preserve">Caldera / </t>
    </r>
    <r>
      <rPr>
        <i/>
        <sz val="10"/>
        <color rgb="FF333333"/>
        <rFont val="Arial"/>
        <family val="2"/>
      </rPr>
      <t>Boiler</t>
    </r>
  </si>
  <si>
    <r>
      <t xml:space="preserve">Microturbina o gran turbina de gas / </t>
    </r>
    <r>
      <rPr>
        <i/>
        <sz val="10"/>
        <color rgb="FF333333"/>
        <rFont val="Arial"/>
        <family val="2"/>
      </rPr>
      <t>Microturbine or large gas turbine</t>
    </r>
  </si>
  <si>
    <r>
      <t xml:space="preserve">Actualización y uso de gas como combustible NG/LNG / </t>
    </r>
    <r>
      <rPr>
        <i/>
        <sz val="10"/>
        <color rgb="FF333333"/>
        <rFont val="Arial"/>
        <family val="2"/>
      </rPr>
      <t>Upgrade and use of gas as CNG/LNG fuel</t>
    </r>
  </si>
  <si>
    <r>
      <t xml:space="preserve">Actualización e inyección en el gasoducto de gas natural / </t>
    </r>
    <r>
      <rPr>
        <i/>
        <sz val="10"/>
        <color rgb="FF333333"/>
        <rFont val="Arial"/>
        <family val="2"/>
      </rPr>
      <t>Upgrade and injection into natural gas pipeline</t>
    </r>
  </si>
  <si>
    <r>
      <t>To determine the monthly BDE enter the data of total measured biogas volumetric flow Fi and of the particular destruction devices Fi</t>
    </r>
    <r>
      <rPr>
        <i/>
        <vertAlign val="subscript"/>
        <sz val="10"/>
        <rFont val="Arial"/>
        <family val="2"/>
      </rPr>
      <t>DD</t>
    </r>
    <r>
      <rPr>
        <i/>
        <sz val="10"/>
        <rFont val="Arial"/>
        <family val="2"/>
      </rPr>
      <t xml:space="preserve"> used in m</t>
    </r>
    <r>
      <rPr>
        <i/>
        <vertAlign val="superscript"/>
        <sz val="10"/>
        <rFont val="Arial"/>
        <family val="2"/>
      </rPr>
      <t>3</t>
    </r>
    <r>
      <rPr>
        <i/>
        <sz val="10"/>
        <rFont val="Arial"/>
        <family val="2"/>
      </rPr>
      <t>.</t>
    </r>
  </si>
  <si>
    <t>For Fi total, enter the total flow of all devices while they are on and also while they are not on. For Fi device 1, 2, etc. enter the total flow for that device, but only while there is data confirming its operational status (i.e., only while it is powered on).</t>
  </si>
  <si>
    <r>
      <t>Fi (m</t>
    </r>
    <r>
      <rPr>
        <b/>
        <vertAlign val="superscript"/>
        <sz val="10"/>
        <rFont val="Arial"/>
        <family val="2"/>
      </rPr>
      <t>3</t>
    </r>
    <r>
      <rPr>
        <b/>
        <sz val="10"/>
        <rFont val="Arial"/>
        <family val="2"/>
      </rPr>
      <t xml:space="preserve">)
</t>
    </r>
    <r>
      <rPr>
        <i/>
        <sz val="10"/>
        <rFont val="Arial"/>
        <family val="2"/>
      </rPr>
      <t>Flujo total medido
Total measured flow</t>
    </r>
  </si>
  <si>
    <r>
      <t>Fi</t>
    </r>
    <r>
      <rPr>
        <b/>
        <vertAlign val="subscript"/>
        <sz val="10"/>
        <rFont val="Arial"/>
        <family val="2"/>
      </rPr>
      <t>DD</t>
    </r>
    <r>
      <rPr>
        <b/>
        <sz val="10"/>
        <rFont val="Arial"/>
        <family val="2"/>
      </rPr>
      <t xml:space="preserve"> dispositivo 1 (m</t>
    </r>
    <r>
      <rPr>
        <b/>
        <vertAlign val="superscript"/>
        <sz val="10"/>
        <rFont val="Arial"/>
        <family val="2"/>
      </rPr>
      <t>3</t>
    </r>
    <r>
      <rPr>
        <b/>
        <sz val="10"/>
        <rFont val="Arial"/>
        <family val="2"/>
      </rPr>
      <t xml:space="preserve">)
</t>
    </r>
    <r>
      <rPr>
        <i/>
        <sz val="10"/>
        <rFont val="Arial"/>
        <family val="2"/>
      </rPr>
      <t>Flujo mientras dispositivo prendido</t>
    </r>
    <r>
      <rPr>
        <b/>
        <sz val="10"/>
        <rFont val="Arial"/>
        <family val="2"/>
      </rPr>
      <t xml:space="preserve">
</t>
    </r>
    <r>
      <rPr>
        <i/>
        <sz val="10"/>
        <rFont val="Arial"/>
        <family val="2"/>
      </rPr>
      <t>Flow rate while device on</t>
    </r>
  </si>
  <si>
    <r>
      <t>Fi</t>
    </r>
    <r>
      <rPr>
        <b/>
        <vertAlign val="subscript"/>
        <sz val="10"/>
        <rFont val="Arial"/>
        <family val="2"/>
      </rPr>
      <t>DD</t>
    </r>
    <r>
      <rPr>
        <b/>
        <sz val="10"/>
        <rFont val="Arial"/>
        <family val="2"/>
      </rPr>
      <t xml:space="preserve"> dispositivo 2 (m</t>
    </r>
    <r>
      <rPr>
        <b/>
        <vertAlign val="superscript"/>
        <sz val="10"/>
        <rFont val="Arial"/>
        <family val="2"/>
      </rPr>
      <t>3</t>
    </r>
    <r>
      <rPr>
        <b/>
        <sz val="10"/>
        <rFont val="Arial"/>
        <family val="2"/>
      </rPr>
      <t xml:space="preserve">)
</t>
    </r>
    <r>
      <rPr>
        <i/>
        <sz val="10"/>
        <rFont val="Arial"/>
        <family val="2"/>
      </rPr>
      <t>Flujo mientras dispositivo prendido</t>
    </r>
    <r>
      <rPr>
        <b/>
        <sz val="10"/>
        <rFont val="Arial"/>
        <family val="2"/>
      </rPr>
      <t xml:space="preserve">
</t>
    </r>
    <r>
      <rPr>
        <i/>
        <sz val="10"/>
        <rFont val="Arial"/>
        <family val="2"/>
      </rPr>
      <t>Flow rate while device on</t>
    </r>
  </si>
  <si>
    <r>
      <t>Fi</t>
    </r>
    <r>
      <rPr>
        <b/>
        <vertAlign val="subscript"/>
        <sz val="10"/>
        <rFont val="Arial"/>
        <family val="2"/>
      </rPr>
      <t>DD</t>
    </r>
    <r>
      <rPr>
        <b/>
        <sz val="10"/>
        <rFont val="Arial"/>
        <family val="2"/>
      </rPr>
      <t xml:space="preserve"> dispositivo 3 (m</t>
    </r>
    <r>
      <rPr>
        <b/>
        <vertAlign val="superscript"/>
        <sz val="10"/>
        <rFont val="Arial"/>
        <family val="2"/>
      </rPr>
      <t>3</t>
    </r>
    <r>
      <rPr>
        <b/>
        <sz val="10"/>
        <rFont val="Arial"/>
        <family val="2"/>
      </rPr>
      <t xml:space="preserve">)
</t>
    </r>
    <r>
      <rPr>
        <i/>
        <sz val="10"/>
        <rFont val="Arial"/>
        <family val="2"/>
      </rPr>
      <t>Flujo mientras dispositivo prendido</t>
    </r>
    <r>
      <rPr>
        <b/>
        <sz val="10"/>
        <rFont val="Arial"/>
        <family val="2"/>
      </rPr>
      <t xml:space="preserve">
</t>
    </r>
    <r>
      <rPr>
        <i/>
        <sz val="10"/>
        <rFont val="Arial"/>
        <family val="2"/>
      </rPr>
      <t>Flow rate while device on</t>
    </r>
  </si>
  <si>
    <r>
      <t>Fi</t>
    </r>
    <r>
      <rPr>
        <b/>
        <vertAlign val="subscript"/>
        <sz val="10"/>
        <rFont val="Arial"/>
        <family val="2"/>
      </rPr>
      <t>DD</t>
    </r>
    <r>
      <rPr>
        <b/>
        <sz val="10"/>
        <rFont val="Arial"/>
        <family val="2"/>
      </rPr>
      <t xml:space="preserve"> dispositivo 4 (m</t>
    </r>
    <r>
      <rPr>
        <b/>
        <vertAlign val="superscript"/>
        <sz val="10"/>
        <rFont val="Arial"/>
        <family val="2"/>
      </rPr>
      <t>3</t>
    </r>
    <r>
      <rPr>
        <b/>
        <sz val="10"/>
        <rFont val="Arial"/>
        <family val="2"/>
      </rPr>
      <t xml:space="preserve">)
</t>
    </r>
    <r>
      <rPr>
        <i/>
        <sz val="10"/>
        <rFont val="Arial"/>
        <family val="2"/>
      </rPr>
      <t>Flujo mientras dispositivo prendido</t>
    </r>
    <r>
      <rPr>
        <b/>
        <sz val="10"/>
        <rFont val="Arial"/>
        <family val="2"/>
      </rPr>
      <t xml:space="preserve">
</t>
    </r>
    <r>
      <rPr>
        <i/>
        <sz val="10"/>
        <rFont val="Arial"/>
        <family val="2"/>
      </rPr>
      <t>Flow rate while device on</t>
    </r>
  </si>
  <si>
    <r>
      <t xml:space="preserve">Notas/Comentarios del Usuario:
</t>
    </r>
    <r>
      <rPr>
        <i/>
        <sz val="10"/>
        <rFont val="Arial"/>
        <family val="2"/>
      </rPr>
      <t>User notes/comments:</t>
    </r>
  </si>
  <si>
    <t>IV.A.ii: Measurement system</t>
  </si>
  <si>
    <r>
      <t xml:space="preserve">¿Su sistema de control de monitoreo proporciona la concentración de metano de manera continua? Seleccione Sí o No en la celda D76. 
</t>
    </r>
    <r>
      <rPr>
        <i/>
        <sz val="10"/>
        <color rgb="FFFF0000"/>
        <rFont val="Arial"/>
        <family val="2"/>
      </rPr>
      <t>Does your monitoring control system provide methane concentration on a continuous basis? Select Yes or No in cell D76.</t>
    </r>
  </si>
  <si>
    <r>
      <t xml:space="preserve">Si respondió sí, vaya al apartado IV.A.iv de esta sección.  Si respondió no, complete únicamente el apartado IV.A.iii.  
</t>
    </r>
    <r>
      <rPr>
        <b/>
        <i/>
        <sz val="10"/>
        <rFont val="Arial"/>
        <family val="2"/>
      </rPr>
      <t xml:space="preserve">If yes, go to section IV.A.iv of this section.  If you answered no, complete only section IV.  </t>
    </r>
  </si>
  <si>
    <t>IV.A.iii Input Data for Continuous Flow Measurement with Periodic Measurement of Methane Concentration</t>
  </si>
  <si>
    <r>
      <t xml:space="preserve">¿El medidor de flujo continuo corrige internamente la temperatura y la presión de las lecturas de biogás a a condiciones estándares de 0 ° C y 1 atm? Seleccione Sí o No en la celda D85.
</t>
    </r>
    <r>
      <rPr>
        <i/>
        <sz val="10"/>
        <color rgb="FFFF0000"/>
        <rFont val="Arial"/>
        <family val="2"/>
      </rPr>
      <t xml:space="preserve">Does the continuous flow meter internally correct the temperature and pressure of the biogas readings to standard conditions of 0°C and 1 atm? Select Yes or No in cell D85.	</t>
    </r>
  </si>
  <si>
    <t>Introduzca la respuesta apropiada en la celda D76 a continuación, siga las instrucciones a continuación.</t>
  </si>
  <si>
    <t>Enter the appropriate response in cell D76 then follow the instructions below.</t>
  </si>
  <si>
    <t xml:space="preserve">Responda la siguiente pregunta e introduzca la respuesta adecuada en la celda D85. A continuación, introduzca los datos mensuales en la siguiente tabla. </t>
  </si>
  <si>
    <t>Answer the following question and enter the appropriate answer in cell D85. Then enter the monthly data in the following table.</t>
  </si>
  <si>
    <r>
      <t>Temperatura  (</t>
    </r>
    <r>
      <rPr>
        <b/>
        <vertAlign val="superscript"/>
        <sz val="10"/>
        <rFont val="Arial"/>
        <family val="2"/>
      </rPr>
      <t>o</t>
    </r>
    <r>
      <rPr>
        <b/>
        <sz val="10"/>
        <rFont val="Arial"/>
        <family val="2"/>
      </rPr>
      <t xml:space="preserve">C)
</t>
    </r>
    <r>
      <rPr>
        <b/>
        <i/>
        <sz val="10"/>
        <rFont val="Arial"/>
        <family val="2"/>
      </rPr>
      <t>Temperature</t>
    </r>
  </si>
  <si>
    <r>
      <t xml:space="preserve">Temperatura (K*)
</t>
    </r>
    <r>
      <rPr>
        <b/>
        <i/>
        <sz val="10"/>
        <rFont val="Arial"/>
        <family val="2"/>
      </rPr>
      <t>Temperature</t>
    </r>
  </si>
  <si>
    <r>
      <t xml:space="preserve">Presión (atm)
</t>
    </r>
    <r>
      <rPr>
        <b/>
        <i/>
        <sz val="10"/>
        <rFont val="Arial"/>
        <family val="2"/>
      </rPr>
      <t>Pressure</t>
    </r>
  </si>
  <si>
    <r>
      <t xml:space="preserve">Notas/Comentarios del Usuario 
</t>
    </r>
    <r>
      <rPr>
        <i/>
        <sz val="10"/>
        <rFont val="Arial"/>
        <family val="2"/>
      </rPr>
      <t>User notes/comments</t>
    </r>
  </si>
  <si>
    <r>
      <rPr>
        <vertAlign val="superscript"/>
        <sz val="10"/>
        <rFont val="Arial"/>
        <family val="2"/>
      </rPr>
      <t xml:space="preserve">1. </t>
    </r>
    <r>
      <rPr>
        <sz val="10"/>
        <rFont val="Arial"/>
        <family val="2"/>
      </rPr>
      <t xml:space="preserve">Ver Apéndice E del Protocolo para conocer la metodología Substitución de Datos y Fallos en la Calibración para calcular las reducciones de emisiones cuando la integridad de datos se ve comprometida ya sea por la falta de datos puntales o por una falla en la calibración. Esta metodología sólo es aplicable para los parámetros de concentración de metano y de medición de flujo. 
</t>
    </r>
    <r>
      <rPr>
        <i/>
        <sz val="10"/>
        <rFont val="Arial"/>
        <family val="2"/>
      </rPr>
      <t>See Appendix E of the Protocol for the Data Substitution and Calibration Failure methodology for calculating emission reductions when data integrity is compromised either by missing key data or calibration failure. This methodology is only applicable for methane concentration and flow measurement parameters.</t>
    </r>
  </si>
  <si>
    <t xml:space="preserve">IV.A.iv: Continuous Methane Flow and Concentration Measurement Input Data </t>
  </si>
  <si>
    <t>This section should be completed only if a "Yes" has been entered in cell D34. If a "no" has been entered in cell D34, complete only section IV.A.iii.</t>
  </si>
  <si>
    <t>If methane flux and concentration is measured continuously (see section IV.A.ii), enter the monthly cumulative measured values (CH4, meters) following equation 5.6.</t>
  </si>
  <si>
    <r>
      <rPr>
        <vertAlign val="superscript"/>
        <sz val="10"/>
        <rFont val="Arial"/>
        <family val="2"/>
      </rPr>
      <t xml:space="preserve">1. </t>
    </r>
    <r>
      <rPr>
        <sz val="10"/>
        <rFont val="Arial"/>
        <family val="2"/>
      </rPr>
      <t xml:space="preserve">Ver Apendice E del Protocolo para conocer la metodología Substitución de Datos y Fallos en la Calibración para calcular las reducciones de emisiones cuando la integridad de datos se ve comprometida ya sea por la falta de datos puntales o por una falla en la calibración. Esta metodología sólo es aplicable para los parámetros de concentración de metano y de medición de flujo. 
</t>
    </r>
    <r>
      <rPr>
        <i/>
        <sz val="10"/>
        <rFont val="Arial"/>
        <family val="2"/>
      </rPr>
      <t xml:space="preserve">See Appendix E of the Protocol for the Data Substitution and Calibration Failure methodology for calculating emission reductions when data integrity is compromised either by missing key data or calibration failure. This methodology is only applicable for methane concentration and flow measurement parameters. 	</t>
    </r>
  </si>
  <si>
    <t xml:space="preserve">IV.B. Input Data for Methane Emissions from Ventilation Events [Protocol - Equation 5.7] Calculated in Sheet IX   </t>
  </si>
  <si>
    <r>
      <t>El valor VS</t>
    </r>
    <r>
      <rPr>
        <vertAlign val="subscript"/>
        <sz val="12"/>
        <color theme="1"/>
        <rFont val="Calibri"/>
        <family val="2"/>
        <scheme val="minor"/>
      </rPr>
      <t>ep</t>
    </r>
    <r>
      <rPr>
        <sz val="12"/>
        <color theme="1"/>
        <rFont val="Calibri"/>
        <family val="2"/>
        <scheme val="minor"/>
      </rPr>
      <t xml:space="preserve"> es calculado automáticamente sobre la base de la producción total de VS para cada categoría de ganado (kg/animal/día), el tamaño de la población, y la fracción del estiércol de cada categoría de ganado que se maneja en el digestor (introducir valor en la columna E). El valor de VS total se multiplica por 30% para obtener una estimación de la VS contenida en el efluente del digestor. 
</t>
    </r>
    <r>
      <rPr>
        <i/>
        <sz val="12"/>
        <color theme="1"/>
        <rFont val="Calibri"/>
        <family val="2"/>
        <scheme val="minor"/>
      </rPr>
      <t>The VS</t>
    </r>
    <r>
      <rPr>
        <i/>
        <vertAlign val="subscript"/>
        <sz val="12"/>
        <color theme="1"/>
        <rFont val="Calibri"/>
        <family val="2"/>
        <scheme val="minor"/>
      </rPr>
      <t>ep</t>
    </r>
    <r>
      <rPr>
        <i/>
        <sz val="12"/>
        <color theme="1"/>
        <rFont val="Calibri"/>
        <family val="2"/>
        <scheme val="minor"/>
      </rPr>
      <t xml:space="preserve"> value is automatically calculated based on the total VS production for each livestock category (kg/animal/day), the population size, and the fraction of manure from each livestock category that is handled in the digester (enter value in column E). The total VS value is multiplied by 30% to obtain an estimate of the VS contained in the digester effluent.</t>
    </r>
  </si>
  <si>
    <t>IV.C. Methane Emissions Input Data from Biogas Control System 1 Effluent Pond Project [Protocol - Equation 5.8] Calculated in Worksheet X</t>
  </si>
  <si>
    <r>
      <t xml:space="preserve">Valor por defecto
(promedio ponderado)
</t>
    </r>
    <r>
      <rPr>
        <i/>
        <sz val="10"/>
        <rFont val="Arial"/>
        <family val="2"/>
      </rPr>
      <t>Default Value
(weighted average)</t>
    </r>
  </si>
  <si>
    <r>
      <t xml:space="preserve">Valor alternativo definido por el usuario
</t>
    </r>
    <r>
      <rPr>
        <i/>
        <sz val="10"/>
        <rFont val="Arial"/>
        <family val="2"/>
      </rPr>
      <t>User defined alternative value</t>
    </r>
  </si>
  <si>
    <r>
      <t xml:space="preserve">Categoría de Ganado L
</t>
    </r>
    <r>
      <rPr>
        <b/>
        <i/>
        <sz val="10"/>
        <rFont val="Arial"/>
        <family val="2"/>
      </rPr>
      <t>Livestock Category</t>
    </r>
  </si>
  <si>
    <r>
      <t xml:space="preserve">Población Promedio
</t>
    </r>
    <r>
      <rPr>
        <b/>
        <i/>
        <sz val="10"/>
        <rFont val="Arial"/>
        <family val="2"/>
      </rPr>
      <t>Average Population</t>
    </r>
  </si>
  <si>
    <r>
      <t xml:space="preserve">Valor por defecto
(abono líquido)
</t>
    </r>
    <r>
      <rPr>
        <i/>
        <sz val="10"/>
        <rFont val="Arial"/>
        <family val="2"/>
      </rPr>
      <t>Default Value
(liquid manure)</t>
    </r>
  </si>
  <si>
    <r>
      <rPr>
        <vertAlign val="superscript"/>
        <sz val="10"/>
        <rFont val="Arial"/>
        <family val="2"/>
      </rPr>
      <t xml:space="preserve">1 </t>
    </r>
    <r>
      <rPr>
        <sz val="10"/>
        <rFont val="Arial"/>
        <family val="2"/>
      </rPr>
      <t xml:space="preserve">Si no hay un estanque efluente y los desarrolladores del proyecto envían el efluente del digestor (VS) a pilas de compostaje o lo aplican directamente en la tierra, entonces, se deben rastrear también los VS para estos casos utilizando la Ecuación 5.7.
</t>
    </r>
    <r>
      <rPr>
        <i/>
        <sz val="10"/>
        <rFont val="Arial"/>
        <family val="2"/>
      </rPr>
      <t xml:space="preserve">If there is no effluent pond and the project developers send the digester effluent (VS) to compost piles or apply it directly to land, then VS should also be tracked for these cases using Equation 5.7.			</t>
    </r>
  </si>
  <si>
    <r>
      <rPr>
        <vertAlign val="superscript"/>
        <sz val="10"/>
        <rFont val="Arial"/>
        <family val="2"/>
      </rPr>
      <t>2</t>
    </r>
    <r>
      <rPr>
        <sz val="10"/>
        <rFont val="Arial"/>
        <family val="2"/>
      </rPr>
      <t xml:space="preserve"> El valor Bo para el estanque efluente del proyecto no se diferencia por categoría de ganado. Los desarrolladores de proyectos pueden utilizar el valor Bo que corresponde a un promedio de las categorías de ganado de la operación que aportan estiércol al sistema de control de biogás. Se debe presentar al verificador toda la documentación y datos de laboratorio respaldatorios para justificar el valor alternativo. </t>
    </r>
    <r>
      <rPr>
        <sz val="10"/>
        <color theme="1"/>
        <rFont val="Arial"/>
        <family val="2"/>
      </rPr>
      <t xml:space="preserve"> Si se utiliza un valor alternativo, describa brevemente cómo se produjo este valor en el cuadro de comentarios.</t>
    </r>
    <r>
      <rPr>
        <sz val="10"/>
        <rFont val="Arial"/>
        <family val="2"/>
      </rPr>
      <t xml:space="preserve">
</t>
    </r>
    <r>
      <rPr>
        <i/>
        <sz val="10"/>
        <rFont val="Arial"/>
        <family val="2"/>
      </rPr>
      <t>The Bo value for the project effluent pond is not differentiated by livestock category. Project developers can use the Bo value that corresponds to an average of the operation's livestock categories that contribute manure to the biogas control system. All supporting documentation and laboratory data must be submitted to the verifier to justify the alternative value.  If an alternative value is used, briefly describe how this value was produced in the comments box.</t>
    </r>
  </si>
  <si>
    <t>IV.D. Project Methane Emissions from Sources Related to Non-Biogas Control Systems, Post-Project [Protocol - Equation 5.9].</t>
  </si>
  <si>
    <t>Enter in the yellow fields the storage/treatment systems in use other than the biogas control system and associated effluent pond (if used). Refer to Table XIV.A of Worksheet XIV for system component definitions. Storage/treatment system categories that are not applicable should be left blank. Enter in the orange fields the MCF value for systems other than lagoon and storage pond.  Refer to Table XIV.D of Worksheet XIV for the default methane conversion factors for manure management system components. Component storage categories that are not applicable should be left blank.</t>
  </si>
  <si>
    <r>
      <t xml:space="preserve">Sistemas anaeróbicos de Almacenamiento/Tratamiento
</t>
    </r>
    <r>
      <rPr>
        <b/>
        <i/>
        <sz val="10"/>
        <rFont val="Arial"/>
        <family val="2"/>
      </rPr>
      <t>Anaerobic Storage/Treatment Systems</t>
    </r>
  </si>
  <si>
    <r>
      <t xml:space="preserve">Anaeróbicos / </t>
    </r>
    <r>
      <rPr>
        <b/>
        <i/>
        <sz val="10"/>
        <rFont val="Arial"/>
        <family val="2"/>
      </rPr>
      <t>Anaerobic</t>
    </r>
  </si>
  <si>
    <r>
      <t xml:space="preserve">Otros sistemas de Almacenamiento/ Tratamiento
</t>
    </r>
    <r>
      <rPr>
        <b/>
        <i/>
        <sz val="10"/>
        <rFont val="Arial"/>
        <family val="2"/>
      </rPr>
      <t>Other Storage/Treatment Systems</t>
    </r>
  </si>
  <si>
    <r>
      <t xml:space="preserve">MCF para otros sistemas de tratamiento no-anaeróbicos
</t>
    </r>
    <r>
      <rPr>
        <b/>
        <i/>
        <sz val="10"/>
        <rFont val="Arial"/>
        <family val="2"/>
      </rPr>
      <t>MCF for other non-anaerobic treatment systems</t>
    </r>
  </si>
  <si>
    <r>
      <t xml:space="preserve">MCF para otros sistemas de tratamiento no-anaeróbicos (fracción)
</t>
    </r>
    <r>
      <rPr>
        <b/>
        <i/>
        <sz val="10"/>
        <rFont val="Arial"/>
        <family val="2"/>
      </rPr>
      <t>MCF for Non-anaerobic Treatment Systems</t>
    </r>
  </si>
  <si>
    <r>
      <t>Sistemas de almacenamiento y tratamiento del estiércol</t>
    </r>
    <r>
      <rPr>
        <b/>
        <i/>
        <sz val="10"/>
        <rFont val="Arial"/>
        <family val="2"/>
      </rPr>
      <t xml:space="preserve">
Manure Management Storage/Treatment Systems</t>
    </r>
  </si>
  <si>
    <r>
      <t>No-Anaeróbicos / Non-</t>
    </r>
    <r>
      <rPr>
        <b/>
        <i/>
        <sz val="10"/>
        <rFont val="Arial"/>
        <family val="2"/>
      </rPr>
      <t>Anaerobic</t>
    </r>
  </si>
  <si>
    <r>
      <t xml:space="preserve">Laguna anaeróbica descubierta / </t>
    </r>
    <r>
      <rPr>
        <i/>
        <sz val="10"/>
        <color rgb="FF000000"/>
        <rFont val="Arial"/>
        <family val="2"/>
      </rPr>
      <t>Uncovered anaerobic lagoon</t>
    </r>
  </si>
  <si>
    <r>
      <t xml:space="preserve">Líquido/ Abono líquido con formación de costra natural / </t>
    </r>
    <r>
      <rPr>
        <i/>
        <sz val="10"/>
        <color rgb="FF000000"/>
        <rFont val="Arial"/>
        <family val="2"/>
      </rPr>
      <t>Liquid/Slurry Uncovered with natural crust formation</t>
    </r>
  </si>
  <si>
    <r>
      <t xml:space="preserve">Líquido/ Abono líquido sin formación de costra natural / </t>
    </r>
    <r>
      <rPr>
        <i/>
        <sz val="10"/>
        <color rgb="FF000000"/>
        <rFont val="Arial"/>
        <family val="2"/>
      </rPr>
      <t>Liquid/Slurry fertilizer without natural crust cover</t>
    </r>
  </si>
  <si>
    <r>
      <t xml:space="preserve">Pastura/pradera/potrero / </t>
    </r>
    <r>
      <rPr>
        <i/>
        <sz val="10"/>
        <color rgb="FF000000"/>
        <rFont val="Arial"/>
        <family val="2"/>
      </rPr>
      <t>Pasture/Range/Paddock</t>
    </r>
  </si>
  <si>
    <r>
      <t xml:space="preserve">Esparcimiento diario / </t>
    </r>
    <r>
      <rPr>
        <i/>
        <sz val="10"/>
        <color rgb="FF000000"/>
        <rFont val="Arial"/>
        <family val="2"/>
      </rPr>
      <t>Daily Spreading</t>
    </r>
  </si>
  <si>
    <r>
      <t xml:space="preserve">Corral de engorda / </t>
    </r>
    <r>
      <rPr>
        <i/>
        <sz val="10"/>
        <color rgb="FF000000"/>
        <rFont val="Arial"/>
        <family val="2"/>
      </rPr>
      <t>Feedlot</t>
    </r>
  </si>
  <si>
    <r>
      <t xml:space="preserve">Almacenamiento en fosas por debajo de las instalaciones de confinamiento de los animales &lt; 1 mes / </t>
    </r>
    <r>
      <rPr>
        <i/>
        <sz val="10"/>
        <color rgb="FF000000"/>
        <rFont val="Arial"/>
        <family val="2"/>
      </rPr>
      <t>Pit storage below the animal confinement facilities &lt; 1 month</t>
    </r>
  </si>
  <si>
    <r>
      <t xml:space="preserve">Almacenamiento en fosas por debajo de las instalaciones de confinamiento de los animales &gt; 1 mes / </t>
    </r>
    <r>
      <rPr>
        <i/>
        <sz val="10"/>
        <color rgb="FF000000"/>
        <rFont val="Arial"/>
        <family val="2"/>
      </rPr>
      <t>Pit storage below the animal confinement facilities &gt; 1 month</t>
    </r>
  </si>
  <si>
    <r>
      <t xml:space="preserve">Cama profunda para ganado vacuno y porcino &lt; 1 mes / </t>
    </r>
    <r>
      <rPr>
        <i/>
        <sz val="10"/>
        <color rgb="FF000000"/>
        <rFont val="Arial"/>
        <family val="2"/>
      </rPr>
      <t>Deep bedding for cattle and swine &lt; 1 month</t>
    </r>
  </si>
  <si>
    <r>
      <t xml:space="preserve">Cama profunda para ganado vacuno y porcino &gt; 1 mes / </t>
    </r>
    <r>
      <rPr>
        <i/>
        <sz val="10"/>
        <color rgb="FF000000"/>
        <rFont val="Arial"/>
        <family val="2"/>
      </rPr>
      <t>Deep bedding for cattle and swine &gt; 1 month</t>
    </r>
  </si>
  <si>
    <r>
      <t xml:space="preserve">Composteo – en tanque/pila estática </t>
    </r>
    <r>
      <rPr>
        <vertAlign val="superscript"/>
        <sz val="10"/>
        <color rgb="FF000000"/>
        <rFont val="Arial"/>
        <family val="2"/>
      </rPr>
      <t>b</t>
    </r>
    <r>
      <rPr>
        <sz val="10"/>
        <color rgb="FF000000"/>
        <rFont val="Arial"/>
        <family val="2"/>
      </rPr>
      <t xml:space="preserve"> / Composting - in tank/static pile</t>
    </r>
  </si>
  <si>
    <r>
      <t xml:space="preserve">Composteo – Intensivo/Pasivo en Hileras </t>
    </r>
    <r>
      <rPr>
        <vertAlign val="superscript"/>
        <sz val="10"/>
        <color rgb="FF000000"/>
        <rFont val="Arial"/>
        <family val="2"/>
      </rPr>
      <t>b</t>
    </r>
    <r>
      <rPr>
        <sz val="10"/>
        <color rgb="FF000000"/>
        <rFont val="Arial"/>
        <family val="2"/>
      </rPr>
      <t xml:space="preserve"> / </t>
    </r>
    <r>
      <rPr>
        <i/>
        <sz val="10"/>
        <color rgb="FF000000"/>
        <rFont val="Arial"/>
        <family val="2"/>
      </rPr>
      <t>Composting - Intensive/Passive Windrow</t>
    </r>
  </si>
  <si>
    <r>
      <t xml:space="preserve">Tratamiento aeróbico / </t>
    </r>
    <r>
      <rPr>
        <i/>
        <sz val="10"/>
        <color rgb="FF000000"/>
        <rFont val="Arial"/>
        <family val="2"/>
      </rPr>
      <t>Aerobic Treatment</t>
    </r>
  </si>
  <si>
    <r>
      <t xml:space="preserve">Quemado para combustible / </t>
    </r>
    <r>
      <rPr>
        <i/>
        <sz val="10"/>
        <color rgb="FF000000"/>
        <rFont val="Arial"/>
        <family val="2"/>
      </rPr>
      <t>Burning for fuel</t>
    </r>
  </si>
  <si>
    <r>
      <t xml:space="preserve">Almacenamiento sólido / </t>
    </r>
    <r>
      <rPr>
        <i/>
        <sz val="10"/>
        <color rgb="FF000000"/>
        <rFont val="Arial"/>
        <family val="2"/>
      </rPr>
      <t>Solid Storage</t>
    </r>
  </si>
  <si>
    <r>
      <t xml:space="preserve">Sistema de almacenamiento/tratamiento anaeróbico
</t>
    </r>
    <r>
      <rPr>
        <b/>
        <i/>
        <sz val="10"/>
        <rFont val="Arial"/>
        <family val="2"/>
      </rPr>
      <t>Anaerobic Storage/Treatment Systems</t>
    </r>
  </si>
  <si>
    <r>
      <t xml:space="preserve">Sistema de Almacenamiento/Tratamiento no-aeróbico
</t>
    </r>
    <r>
      <rPr>
        <b/>
        <i/>
        <sz val="10"/>
        <rFont val="Arial"/>
        <family val="2"/>
      </rPr>
      <t>Non-Anaerobic Storage/Treatment Systems</t>
    </r>
  </si>
  <si>
    <t>IV.E. Fraction of manure per Livestock Category L that is stored/treated in another storage system S (MSL, s) for project calculation in addition to SCB + effluent pond of the system</t>
  </si>
  <si>
    <t>Enter the fraction (in decimal format) of manure from each livestock category that is stored or treated in each component of the system within the yellow fields. Storage components and livestock categories that are not applicable should be left blank.</t>
  </si>
  <si>
    <t>IV.F. Does the fraction of manure that is managed in the storage/treatment system(s) change on a monthly or seasonal basis?</t>
  </si>
  <si>
    <t>If yes, adjust Section IV.E according to the handling used.</t>
  </si>
  <si>
    <t>Notas/Comentarios del Usuario 
User notes/comments</t>
  </si>
  <si>
    <t>IV.G. Carbon Dioxide Project Emissions Input Data [Protocol - Equation 5.11] is calculated in the XIII sheet.</t>
  </si>
  <si>
    <t xml:space="preserve">IV.G.i. Carbon Dioxide Project Emissions Input Data from Mobile and Stationary Combustion Sources: CO2 (MSC) </t>
  </si>
  <si>
    <t>Enter the source, fuel type, annual fuel quantity (QF), and specific emission factors (EFC02) for all project on-site mobile combustion sources. Refer to Worksheet XIV table in XIV.E for default EFC02 values for mobile sources.</t>
  </si>
  <si>
    <r>
      <t xml:space="preserve">Fuente móvil
</t>
    </r>
    <r>
      <rPr>
        <b/>
        <i/>
        <sz val="10"/>
        <rFont val="Arial"/>
        <family val="2"/>
      </rPr>
      <t>Mobile Source</t>
    </r>
  </si>
  <si>
    <t>IV.G.ii. Input data for the Carbon Bioxide Project Emissions from stationary combustion sources: CO2 (MSC)</t>
  </si>
  <si>
    <r>
      <t xml:space="preserve">Fuente estacionaria
</t>
    </r>
    <r>
      <rPr>
        <b/>
        <sz val="10"/>
        <rFont val="Arial"/>
        <family val="2"/>
      </rPr>
      <t>Stationary Source</t>
    </r>
  </si>
  <si>
    <r>
      <t xml:space="preserve">Tipo de combustibles gaseosos (c)
</t>
    </r>
    <r>
      <rPr>
        <b/>
        <i/>
        <sz val="10"/>
        <rFont val="Arial"/>
        <family val="2"/>
      </rPr>
      <t>Gas Fuel Type</t>
    </r>
  </si>
  <si>
    <r>
      <t xml:space="preserve">Otros tipos de combustibles (c)
</t>
    </r>
    <r>
      <rPr>
        <b/>
        <i/>
        <sz val="10"/>
        <rFont val="Arial"/>
        <family val="2"/>
      </rPr>
      <t>Other Fuel Type</t>
    </r>
  </si>
  <si>
    <t>IV.G.iii.  Emissions Input Data for the Bioethanol Project Carbon Dioxide from Electricity Consumption: CO2, MSC</t>
  </si>
  <si>
    <r>
      <t xml:space="preserve">Introduzca la cantidad de electricidad consumida por los equipos directamente relacionados con las actividades del proyecto. Introduzca 0 si no hay fuentes importantes de consumo de electricidad. 
</t>
    </r>
    <r>
      <rPr>
        <i/>
        <sz val="10"/>
        <rFont val="Arial"/>
        <family val="2"/>
      </rPr>
      <t>Enter the amount of electricity consumed by equipment directly related to project activities. Enter 0 if there are no major sources of electricity consumption.</t>
    </r>
  </si>
  <si>
    <t>IV.G.iv. Electricity Generated by the Project</t>
  </si>
  <si>
    <r>
      <t xml:space="preserve">Si el total de electricidad generado por las actividades del proyecto es mayor o igual que el consumo de electricidad adicional, entonces, QEc no se contabilizará en las emisiones de proyecto y deberá ser omitido de la Ecuación 5.11 en la Hoja de Trabajo XIII.A.iv y XIII .Bv. Esta comparación y ajuste de cálculo se producen de forma automática y no requiere ninguna acción por parte del usuario. 
</t>
    </r>
    <r>
      <rPr>
        <i/>
        <sz val="10"/>
        <rFont val="Arial"/>
        <family val="2"/>
      </rPr>
      <t>If the total electricity generated by project activities is greater than or equal to the additional electricity consumption, then QEc will not be accounted for in project emissions and should be omitted from Equation 5.11 in Worksheet XIII.A.iv and XIII.Bv. This comparison and calculation adjustment occurs automatically and requires no action by the user.</t>
    </r>
  </si>
  <si>
    <r>
      <t xml:space="preserve">Dispositivo de Generación
</t>
    </r>
    <r>
      <rPr>
        <b/>
        <i/>
        <sz val="10"/>
        <rFont val="Arial"/>
        <family val="2"/>
      </rPr>
      <t>Generation Device</t>
    </r>
  </si>
  <si>
    <r>
      <t xml:space="preserve">Producción anual (MWh)
</t>
    </r>
    <r>
      <rPr>
        <b/>
        <i/>
        <sz val="10"/>
        <rFont val="Arial"/>
        <family val="2"/>
      </rPr>
      <t>Annual Production</t>
    </r>
  </si>
  <si>
    <r>
      <t xml:space="preserve">Durazno / </t>
    </r>
    <r>
      <rPr>
        <b/>
        <i/>
        <sz val="10"/>
        <rFont val="Arial"/>
        <family val="2"/>
      </rPr>
      <t>Peach</t>
    </r>
  </si>
  <si>
    <r>
      <t xml:space="preserve">Valores específicos del sitio a ser introducidos por el usuario / </t>
    </r>
    <r>
      <rPr>
        <i/>
        <sz val="10"/>
        <rFont val="Arial"/>
        <family val="2"/>
      </rPr>
      <t xml:space="preserve">Site-specific values to be entered by the user				</t>
    </r>
  </si>
  <si>
    <r>
      <t xml:space="preserve">Automáticamente extraído de otras hojas de cálculo / </t>
    </r>
    <r>
      <rPr>
        <i/>
        <sz val="10"/>
        <rFont val="Arial"/>
        <family val="2"/>
      </rPr>
      <t xml:space="preserve">Automatically extracted from other spreadsheets				</t>
    </r>
  </si>
  <si>
    <r>
      <t xml:space="preserve">Cálculos automáticos - Este valor debe ser registrado y utilizado como entrada para el cálculo del año siguiente / </t>
    </r>
    <r>
      <rPr>
        <i/>
        <sz val="10"/>
        <rFont val="Arial"/>
        <family val="2"/>
      </rPr>
      <t>Calculated automatically - This value should be recorded and used as input for the following year's calculation</t>
    </r>
  </si>
  <si>
    <r>
      <t xml:space="preserve">Constantes / </t>
    </r>
    <r>
      <rPr>
        <i/>
        <sz val="10"/>
        <rFont val="Arial"/>
        <family val="2"/>
      </rPr>
      <t>Constants</t>
    </r>
  </si>
  <si>
    <r>
      <t xml:space="preserve">Notas/comentarios del Usuario / </t>
    </r>
    <r>
      <rPr>
        <i/>
        <sz val="10"/>
        <rFont val="Arial"/>
        <family val="2"/>
      </rPr>
      <t>User Notes/comments</t>
    </r>
  </si>
  <si>
    <t>Note to User: Calculation formulas and descriptions are provided in worksheet XV.</t>
  </si>
  <si>
    <r>
      <t xml:space="preserve"> IMPORTANTE: </t>
    </r>
    <r>
      <rPr>
        <sz val="10"/>
        <color indexed="10"/>
        <rFont val="Arial"/>
        <family val="2"/>
      </rPr>
      <t>La extracción total de los sólidos del sistema de almacenamiento/tratamiento anaeróbico de la línea base elimina (convierte en cero) el VS restante del mes anterior (columna G abajo). Los desarrolladores de proyectos son responsables de introducir el mes(es) que el líquido es drenado y los sólidos removidos de la laguna anaeróbica en la Sección III.H. Ver el pie de nota 24 del Protocolo de Proyectos de Ganadería V2.0 para una guía sobre cuándo el término (VS</t>
    </r>
    <r>
      <rPr>
        <vertAlign val="subscript"/>
        <sz val="10"/>
        <color indexed="10"/>
        <rFont val="Arial"/>
        <family val="2"/>
      </rPr>
      <t>avail-1,AS</t>
    </r>
    <r>
      <rPr>
        <sz val="10"/>
        <color indexed="10"/>
        <rFont val="Arial"/>
        <family val="2"/>
      </rPr>
      <t xml:space="preserve"> - VS</t>
    </r>
    <r>
      <rPr>
        <vertAlign val="subscript"/>
        <sz val="10"/>
        <color indexed="10"/>
        <rFont val="Arial"/>
        <family val="2"/>
      </rPr>
      <t>deg-1, AS</t>
    </r>
    <r>
      <rPr>
        <sz val="10"/>
        <color indexed="10"/>
        <rFont val="Arial"/>
        <family val="2"/>
      </rPr>
      <t>) debe ser igual cero. Si los sólidos son extraídos de diciembre a enero del año siguiente, la cantidad de sólidos restantes de diciembre del año anterior debe ser introducida manualmente en enero para el cálculo del año siguiente (columna G). Mantenga un registro del (VS</t>
    </r>
    <r>
      <rPr>
        <vertAlign val="subscript"/>
        <sz val="10"/>
        <color indexed="10"/>
        <rFont val="Arial"/>
        <family val="2"/>
      </rPr>
      <t>avail-1,AS</t>
    </r>
    <r>
      <rPr>
        <sz val="10"/>
        <color indexed="10"/>
        <rFont val="Arial"/>
        <family val="2"/>
      </rPr>
      <t xml:space="preserve"> - VS</t>
    </r>
    <r>
      <rPr>
        <vertAlign val="subscript"/>
        <sz val="10"/>
        <color indexed="10"/>
        <rFont val="Arial"/>
        <family val="2"/>
      </rPr>
      <t>deg-1, AS</t>
    </r>
    <r>
      <rPr>
        <sz val="10"/>
        <color indexed="10"/>
        <rFont val="Arial"/>
        <family val="2"/>
      </rPr>
      <t xml:space="preserve">), que debe ser la entrada para enero del próximo año (celdas color durazno). 
</t>
    </r>
    <r>
      <rPr>
        <u/>
        <sz val="10"/>
        <color indexed="10"/>
        <rFont val="Arial"/>
        <family val="2"/>
      </rPr>
      <t xml:space="preserve">
</t>
    </r>
    <r>
      <rPr>
        <i/>
        <sz val="10"/>
        <color rgb="FFFF0000"/>
        <rFont val="Arial"/>
        <family val="2"/>
      </rPr>
      <t>IMPORTANT: Total solids removal from the baseline anaerobic storage/treatment system removes (zeroes out) the remaining VS from the previous month (column G below). Project developers are responsible for entering the month(s) that liquid is drained and solids removed from the anaerobic lagoon in Section III.H. See footnote 24 of the Livestock Project Protocol V2.0 for guidance on when the term (VSavail-1,AS - VSdeg-1, AS) should equal zero. If solids are removed from December to January of the following year, the amount of solids remaining from December of the previous year must be manually entered in January for the following year's calculation (column G). Keep a record of (VSavail-1,AS - VSdeg-1, AS), which should be the entry for January of the next year (peach colored cells).</t>
    </r>
  </si>
  <si>
    <t>IV.A. Baseline Methane Emissions from Anaerobic Storage/Treatment Systems by Livestock Category: BECH4,AS,y [Protocol - Equation 5.3].</t>
  </si>
  <si>
    <r>
      <t xml:space="preserve"># Días
</t>
    </r>
    <r>
      <rPr>
        <b/>
        <i/>
        <sz val="10"/>
        <rFont val="Arial"/>
        <family val="2"/>
      </rPr>
      <t># Days</t>
    </r>
  </si>
  <si>
    <r>
      <t xml:space="preserve">Notas/Comentarios del Usuario: 
</t>
    </r>
    <r>
      <rPr>
        <i/>
        <sz val="10"/>
        <rFont val="Arial"/>
        <family val="2"/>
      </rPr>
      <t>User notes/comments</t>
    </r>
  </si>
  <si>
    <t>Notas/Comentarios del Usuario: 
User notes/comments</t>
  </si>
  <si>
    <r>
      <t xml:space="preserve">Notas/Comentarios del Usuario:
</t>
    </r>
    <r>
      <rPr>
        <i/>
        <sz val="10"/>
        <rFont val="Arial"/>
        <family val="2"/>
      </rPr>
      <t>User Notes/comments</t>
    </r>
  </si>
  <si>
    <t>Notas/Comentarios del Usuario:
User Notes/comments</t>
  </si>
  <si>
    <r>
      <t xml:space="preserve">Si los sólidos se transfieren entre períodos de informe, mantenga un registro del número anterior para que este número pueda ser insertado en el primer mes del cálculo del próximo año!
</t>
    </r>
    <r>
      <rPr>
        <i/>
        <sz val="10"/>
        <rFont val="Arial"/>
        <family val="2"/>
      </rPr>
      <t>If solids are transferred between reporting periods, keep a record of the previous number so that this number can be inserted in the first month of the next year's calculation.</t>
    </r>
  </si>
  <si>
    <r>
      <t xml:space="preserve">VS para el primer mes del siguiente período de reporte
</t>
    </r>
    <r>
      <rPr>
        <i/>
        <sz val="10"/>
        <rFont val="Arial"/>
        <family val="2"/>
      </rPr>
      <t>VS for the first month of the following reporting period</t>
    </r>
  </si>
  <si>
    <t>Worksheet V: Anaerobic Storage/Treatment Systems Methane Baseline Emissions</t>
  </si>
  <si>
    <r>
      <t xml:space="preserve">Extraídos automáticamente de otras celdas / </t>
    </r>
    <r>
      <rPr>
        <i/>
        <sz val="10"/>
        <rFont val="Arial"/>
        <family val="2"/>
      </rPr>
      <t>Automatically extracted from other cells</t>
    </r>
  </si>
  <si>
    <r>
      <t xml:space="preserve">Cálculos automáticos / </t>
    </r>
    <r>
      <rPr>
        <i/>
        <sz val="10"/>
        <rFont val="Arial"/>
        <family val="2"/>
      </rPr>
      <t>Automatic calculations</t>
    </r>
  </si>
  <si>
    <r>
      <t xml:space="preserve">Notas/Comentarios del Usuario / </t>
    </r>
    <r>
      <rPr>
        <i/>
        <sz val="10"/>
        <rFont val="Arial"/>
        <family val="2"/>
      </rPr>
      <t>User Notes/Comments</t>
    </r>
  </si>
  <si>
    <t>VI.A. Baseline Methane Emissions from Non-Aerobic Storage/Treatment Systems (by system component) [Protocol - Equation 5.4].</t>
  </si>
  <si>
    <t>All inputs for these calculations are taken from Worksheet III. Input data BE.</t>
  </si>
  <si>
    <r>
      <t xml:space="preserve">Category de Ganado (L)
</t>
    </r>
    <r>
      <rPr>
        <b/>
        <i/>
        <sz val="10"/>
        <rFont val="Arial"/>
        <family val="2"/>
      </rPr>
      <t>Livestock Category</t>
    </r>
  </si>
  <si>
    <t>VI.B. Total Baseline Methane Emissions from Non-Aerobic Storage/Treatment Systems [Protocol - Equation 5.4].</t>
  </si>
  <si>
    <t>Worksheet VII: Total Methane Baseline Emissions</t>
  </si>
  <si>
    <t>This section provides a summary of baseline methane emissions by livestock category, storage/treatment system, and total methane. This worksheet does not require any user intervention or adjustments.</t>
  </si>
  <si>
    <t>VII.A. Baseline Methane Emissions by Livestock Category (L) [Protocol - Equations 5.3 and 5.4].</t>
  </si>
  <si>
    <t>VII.B. Baseline Methane Emissions by Methane Component (S) [Protocol - Equations 5.3 and 5.4].</t>
  </si>
  <si>
    <r>
      <t xml:space="preserve">Categoría de Ganado (L)
</t>
    </r>
    <r>
      <rPr>
        <b/>
        <i/>
        <sz val="10"/>
        <rFont val="Arial"/>
        <family val="2"/>
      </rPr>
      <t>Livestock Category</t>
    </r>
  </si>
  <si>
    <r>
      <t xml:space="preserve">Sistema de Almacenamiento/Tratamiento (S)
</t>
    </r>
    <r>
      <rPr>
        <b/>
        <i/>
        <sz val="10"/>
        <rFont val="Arial"/>
        <family val="2"/>
      </rPr>
      <t xml:space="preserve">Storage/Treatment System </t>
    </r>
  </si>
  <si>
    <r>
      <t xml:space="preserve">Notas/Comentarios del Usuario:
</t>
    </r>
    <r>
      <rPr>
        <i/>
        <sz val="10"/>
        <rFont val="Arial"/>
        <family val="2"/>
      </rPr>
      <t>User notes/comments</t>
    </r>
  </si>
  <si>
    <t>VII.C.  Baseline Methane Emissions [Protocol - Equation 5.2].</t>
  </si>
  <si>
    <r>
      <t xml:space="preserve"> Si su medidor corrige internamente los valores a condiciones estándar, utilice los datos de su medidor para llenar las columnas D y E a continuación. Los datos de F (m</t>
    </r>
    <r>
      <rPr>
        <b/>
        <vertAlign val="superscript"/>
        <sz val="10"/>
        <color rgb="FFFF0000"/>
        <rFont val="Arial"/>
        <family val="2"/>
      </rPr>
      <t>3</t>
    </r>
    <r>
      <rPr>
        <b/>
        <sz val="10"/>
        <color indexed="10"/>
        <rFont val="Arial"/>
        <family val="2"/>
      </rPr>
      <t xml:space="preserve"> / mes) y CH4, conc (%) para ambos escenarios.
</t>
    </r>
    <r>
      <rPr>
        <b/>
        <i/>
        <sz val="10"/>
        <color rgb="FFFF0000"/>
        <rFont val="Arial"/>
        <family val="2"/>
      </rPr>
      <t>If your meter internally corrects the values to standard conditions, use your meter data to fill in columns D and E below. The data for F (m</t>
    </r>
    <r>
      <rPr>
        <b/>
        <i/>
        <vertAlign val="superscript"/>
        <sz val="10"/>
        <color rgb="FFFF0000"/>
        <rFont val="Arial"/>
        <family val="2"/>
      </rPr>
      <t>3</t>
    </r>
    <r>
      <rPr>
        <b/>
        <i/>
        <sz val="10"/>
        <color rgb="FFFF0000"/>
        <rFont val="Arial"/>
        <family val="2"/>
      </rPr>
      <t xml:space="preserve"> / month) and CH4, conc (%) for both scenarios.</t>
    </r>
  </si>
  <si>
    <t>Worksheet VIII: Methane Emissions from the Biogas Control System Project</t>
  </si>
  <si>
    <t>VIII.A. Methane Emissions from the Biogas Control System Project [Protocol - Equation 5.6] and Measured Methane Destruction [Protocol - Equation 5.10].</t>
  </si>
  <si>
    <t>All input values for this sheet are taken from Sheet IV. Input data-PE. This worksheet does not require any intervention or adjustments by the user.</t>
  </si>
  <si>
    <t>Worksheet IX: Methane Emission from a Ventilation Event</t>
  </si>
  <si>
    <t>All entries for this sheet taken from sheet IV. Input data-PE. This worksheet does not require any user intervention or adjustment.</t>
  </si>
  <si>
    <t>IX.A. Methane Emissions from a Venting Event [Protocol - Equation 5.7].</t>
  </si>
  <si>
    <t>If the BSC is composed of multiple digester tanks or covered lagoons, the project only needs to quantify the maximum storage (MSSCB) and biogas flux (Fpw ) of the BSC components that experienced the venting event.</t>
  </si>
  <si>
    <r>
      <t>Densidad del CH</t>
    </r>
    <r>
      <rPr>
        <b/>
        <vertAlign val="subscript"/>
        <sz val="10"/>
        <rFont val="Arial"/>
        <family val="2"/>
      </rPr>
      <t xml:space="preserve">4
</t>
    </r>
    <r>
      <rPr>
        <i/>
        <sz val="11"/>
        <rFont val="Arial"/>
        <family val="2"/>
      </rPr>
      <t>Density of CH</t>
    </r>
    <r>
      <rPr>
        <i/>
        <vertAlign val="subscript"/>
        <sz val="11"/>
        <rFont val="Arial"/>
        <family val="2"/>
      </rPr>
      <t>4</t>
    </r>
    <r>
      <rPr>
        <b/>
        <sz val="10"/>
        <rFont val="Arial"/>
        <family val="2"/>
      </rPr>
      <t xml:space="preserve">
(kgCH</t>
    </r>
    <r>
      <rPr>
        <b/>
        <vertAlign val="subscript"/>
        <sz val="10"/>
        <rFont val="Arial"/>
        <family val="2"/>
      </rPr>
      <t>4</t>
    </r>
    <r>
      <rPr>
        <b/>
        <sz val="10"/>
        <rFont val="Arial"/>
        <family val="2"/>
      </rPr>
      <t>/m</t>
    </r>
    <r>
      <rPr>
        <b/>
        <vertAlign val="superscript"/>
        <sz val="10"/>
        <rFont val="Arial"/>
        <family val="2"/>
      </rPr>
      <t>3</t>
    </r>
    <r>
      <rPr>
        <b/>
        <sz val="10"/>
        <rFont val="Arial"/>
        <family val="2"/>
      </rPr>
      <t>)</t>
    </r>
  </si>
  <si>
    <r>
      <t xml:space="preserve">Conversión masa
</t>
    </r>
    <r>
      <rPr>
        <b/>
        <i/>
        <sz val="10"/>
        <rFont val="Arial"/>
        <family val="2"/>
      </rPr>
      <t>Mass Conversion</t>
    </r>
    <r>
      <rPr>
        <b/>
        <sz val="10"/>
        <rFont val="Arial"/>
        <family val="2"/>
      </rPr>
      <t xml:space="preserve">
(kg/MT)</t>
    </r>
  </si>
  <si>
    <r>
      <t xml:space="preserve">Notas/comentarios del Usuario:
</t>
    </r>
    <r>
      <rPr>
        <i/>
        <sz val="10"/>
        <rFont val="Arial"/>
        <family val="2"/>
      </rPr>
      <t>User notes/comments</t>
    </r>
  </si>
  <si>
    <t>Spreadsheet X: Methane Emissions from SCB Effluent Pond Project</t>
  </si>
  <si>
    <r>
      <t xml:space="preserve">Notas/comentarios del Usuario / </t>
    </r>
    <r>
      <rPr>
        <i/>
        <sz val="10"/>
        <rFont val="Arial"/>
        <family val="2"/>
      </rPr>
      <t>User notes/comments</t>
    </r>
  </si>
  <si>
    <t>X.A. Methane Emissions from the Biogas Control System Effluent Pond Project [Protocol - Equation 5.8].</t>
  </si>
  <si>
    <t>The voluntary withdrawal value is calculated according to Equation 5.8. The calculation assumes that 30% of the SVs that enter the digester subsequently leave the digester in the effluent.</t>
  </si>
  <si>
    <t>Spreadsheet XI: Project Methane Emissions from Non-Biogas Control System Related Sources</t>
  </si>
  <si>
    <t>XI.A. Project Methane Emissions from Sources Related to Non-Biogas Control Systems [Protocol - Equation 5.9].</t>
  </si>
  <si>
    <t>The volatile solids values for each livestock category (VSL) are automatically extracted from Worksheet III, Sections III.E, III.F and III.G. The VS and Bo Project values are the same values used in the baseline calculations. This worksheet does not require any intervention or adjustment by the user.</t>
  </si>
  <si>
    <r>
      <t xml:space="preserve">Sistema Almacenamiento/Tratamiento (S)
</t>
    </r>
    <r>
      <rPr>
        <b/>
        <i/>
        <sz val="10"/>
        <rFont val="Arial"/>
        <family val="2"/>
      </rPr>
      <t>Storage/Treatment System</t>
    </r>
  </si>
  <si>
    <r>
      <t xml:space="preserve">Total # de días de reporte / </t>
    </r>
    <r>
      <rPr>
        <b/>
        <i/>
        <sz val="10"/>
        <rFont val="Arial"/>
        <family val="2"/>
      </rPr>
      <t>Total # of reporting days:</t>
    </r>
  </si>
  <si>
    <r>
      <t xml:space="preserve">Valores específicos del sitio a ser introducidos por el Usuario / </t>
    </r>
    <r>
      <rPr>
        <i/>
        <sz val="10"/>
        <rFont val="Arial"/>
        <family val="2"/>
      </rPr>
      <t xml:space="preserve">Site-specific values to be entered by the User	</t>
    </r>
  </si>
  <si>
    <r>
      <t xml:space="preserve">Valores por defecto/extraídos de tablas / </t>
    </r>
    <r>
      <rPr>
        <i/>
        <sz val="10"/>
        <rFont val="Arial"/>
        <family val="2"/>
      </rPr>
      <t xml:space="preserve">Default values/extracted from tables	</t>
    </r>
  </si>
  <si>
    <t>Note to User:</t>
  </si>
  <si>
    <t>On a monthly basis, project developers need only enter the following variables into this calculation tool:</t>
  </si>
  <si>
    <t>1) Monthly average temperature update - Worksheet III, Section III.B.</t>
  </si>
  <si>
    <t>2) Update livestock population (and mass) - Worksheet III, Section III.</t>
  </si>
  <si>
    <t>3) Update the methane captured and flared by the BCS - Worksheet IV, Section IV.A.</t>
  </si>
  <si>
    <t>Other variables/parameters are entered into this calculation tool only once a year, and some only once at the beginning of the project.</t>
  </si>
  <si>
    <r>
      <rPr>
        <vertAlign val="superscript"/>
        <sz val="10"/>
        <rFont val="Arial"/>
        <family val="2"/>
      </rPr>
      <t>2.</t>
    </r>
    <r>
      <rPr>
        <sz val="10"/>
        <rFont val="Arial"/>
        <family val="2"/>
      </rPr>
      <t xml:space="preserve"> Ver Apendice D del Protocolo para determinar si es posible utilizar la metodología Substitución de Datos y Fallos en la Calibración los días que faltan datos de flujo de biogás cuando la integridad de datos se ve comprometida ya sea por la falta de datos puntales o por una falla en la calibración.  
</t>
    </r>
    <r>
      <rPr>
        <i/>
        <sz val="10"/>
        <rFont val="Arial"/>
        <family val="2"/>
      </rPr>
      <t>See Appendix D of the protocol to determine if it is possible to use the Data Substituiton and Calibration Failure methodology on days with missing biogas flow data when data integrity is compromised either by missing point data or calibration failure</t>
    </r>
  </si>
  <si>
    <r>
      <t>Valores Especificos del Sitio B</t>
    </r>
    <r>
      <rPr>
        <b/>
        <vertAlign val="subscript"/>
        <sz val="10"/>
        <rFont val="Arial"/>
        <family val="2"/>
      </rPr>
      <t>o,L</t>
    </r>
    <r>
      <rPr>
        <b/>
        <i/>
        <sz val="10"/>
        <rFont val="Arial"/>
        <family val="2"/>
      </rPr>
      <t xml:space="preserve">
Site-Specific </t>
    </r>
    <r>
      <rPr>
        <b/>
        <sz val="10"/>
        <rFont val="Arial"/>
        <family val="2"/>
      </rPr>
      <t>B</t>
    </r>
    <r>
      <rPr>
        <b/>
        <vertAlign val="subscript"/>
        <sz val="10"/>
        <rFont val="Arial"/>
        <family val="2"/>
      </rPr>
      <t xml:space="preserve">o,L
</t>
    </r>
    <r>
      <rPr>
        <b/>
        <sz val="10"/>
        <rFont val="Arial"/>
        <family val="2"/>
      </rP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 materia seca)</t>
    </r>
  </si>
  <si>
    <r>
      <t xml:space="preserve">Toros (pastoreo) 
</t>
    </r>
    <r>
      <rPr>
        <i/>
        <sz val="10"/>
        <color rgb="FF000000"/>
        <rFont val="Arial"/>
        <family val="2"/>
      </rPr>
      <t>Bulls (grazing)</t>
    </r>
  </si>
  <si>
    <r>
      <t xml:space="preserve">Novillos/Novillos (en sistemas intensivos) 
</t>
    </r>
    <r>
      <rPr>
        <i/>
        <sz val="10"/>
        <color rgb="FF000000"/>
        <rFont val="Arial"/>
        <family val="2"/>
      </rPr>
      <t>Heifers/Steers (in intensive systems)</t>
    </r>
  </si>
  <si>
    <r>
      <t xml:space="preserve">Novillas de reemplazo/crecimiento (en pastos o pastizales) 
</t>
    </r>
    <r>
      <rPr>
        <i/>
        <sz val="10"/>
        <rFont val="Arial"/>
        <family val="2"/>
      </rPr>
      <t>Replacement/growing heifers (in pasture or rangeland)</t>
    </r>
  </si>
  <si>
    <t>Vacas (en pastos/pastizales) 
Cows (in pasture/rangeland)</t>
  </si>
  <si>
    <r>
      <t xml:space="preserve">Vacas lecheras y no lecheras (en sistemas intensivos) 
</t>
    </r>
    <r>
      <rPr>
        <i/>
        <sz val="10"/>
        <color rgb="FF000000"/>
        <rFont val="Arial"/>
        <family val="2"/>
      </rPr>
      <t>Dairy and non-milking dairy cows (in intensive systems)</t>
    </r>
  </si>
  <si>
    <r>
      <t xml:space="preserve">Novillas y novillos (en pastos/pastizales)
</t>
    </r>
    <r>
      <rPr>
        <i/>
        <sz val="10"/>
        <color rgb="FF000000"/>
        <rFont val="Arial"/>
        <family val="2"/>
      </rPr>
      <t>Heifers and Steers (in pasture/rangeland)</t>
    </r>
  </si>
  <si>
    <r>
      <t>Enter the source, fuel type, annual fuel quantity (QF), and specific emission factors (EF</t>
    </r>
    <r>
      <rPr>
        <i/>
        <vertAlign val="subscript"/>
        <sz val="10"/>
        <rFont val="Arial"/>
        <family val="2"/>
      </rPr>
      <t>C02</t>
    </r>
    <r>
      <rPr>
        <i/>
        <sz val="10"/>
        <rFont val="Arial"/>
        <family val="2"/>
      </rPr>
      <t>) for all on-site baseline mobile combustion sources. Refer to Worksheet XIV table in XIV.E for default EF</t>
    </r>
    <r>
      <rPr>
        <i/>
        <vertAlign val="subscript"/>
        <sz val="10"/>
        <rFont val="Arial"/>
        <family val="2"/>
      </rPr>
      <t>C02</t>
    </r>
    <r>
      <rPr>
        <i/>
        <sz val="10"/>
        <rFont val="Arial"/>
        <family val="2"/>
      </rPr>
      <t xml:space="preserve"> values for mobile sources.</t>
    </r>
  </si>
  <si>
    <t>Petróleo crudo / Crude Oil</t>
  </si>
  <si>
    <t>Líquidos de gas natural / Natural gas liquids</t>
  </si>
  <si>
    <t>Gasolina / Gasoline</t>
  </si>
  <si>
    <t>Queroseno / Kerosene</t>
  </si>
  <si>
    <t>Combustible residual / Residual fuel oil</t>
  </si>
  <si>
    <t>Gas Licuado de Petróleo (GLP) / Liquified petroleum gas (LPG)</t>
  </si>
  <si>
    <t>Nafta / Naphtha</t>
  </si>
  <si>
    <t>Lubricantes / Lubricants</t>
  </si>
  <si>
    <t>Coque de petróleo / Petroleum coke</t>
  </si>
  <si>
    <t>Carbón de coque / Coking coal</t>
  </si>
  <si>
    <t>Carbón bituminoso / Bituminous coal</t>
  </si>
  <si>
    <t>Carbón subbituminoso / Sub-bituminous coal</t>
  </si>
  <si>
    <t>Gas natural / Natural gas</t>
  </si>
  <si>
    <t>Aceites usados / Waste oils</t>
  </si>
  <si>
    <t>Vehículos de gasolina / Gasoline vehicles</t>
  </si>
  <si>
    <t>Vehículos de gasolina/diésel / Gas/Diesel vehicles</t>
  </si>
  <si>
    <t>Vehículos de gas licuado de petróleo (GLP) / Liquified petroleum gas (LPG) vehicles</t>
  </si>
  <si>
    <t>Vehículos de gas natural comprimido (GNC) / Compressed natural gas (CNG) vehicles</t>
  </si>
  <si>
    <t>Vehículos de gas natural licuado (GNL) / Liquified natural gas (LNG) vehicles</t>
  </si>
  <si>
    <t>Aeronaves (queroseno) / Aircraft (kerosene)</t>
  </si>
  <si>
    <r>
      <t xml:space="preserve">Combustión móvil / </t>
    </r>
    <r>
      <rPr>
        <b/>
        <i/>
        <sz val="10"/>
        <rFont val="Arial"/>
        <family val="2"/>
      </rPr>
      <t>Mobile Combustion</t>
    </r>
  </si>
  <si>
    <r>
      <t xml:space="preserve">Combustión estacionaria
</t>
    </r>
    <r>
      <rPr>
        <b/>
        <i/>
        <sz val="10"/>
        <rFont val="Arial"/>
        <family val="2"/>
      </rPr>
      <t>Stationary combustion</t>
    </r>
  </si>
  <si>
    <r>
      <t>Si la cantidad de combustible consumido es dado en masa (kg o tonos) o en unidades de volumen (lt o m</t>
    </r>
    <r>
      <rPr>
        <vertAlign val="superscript"/>
        <sz val="10"/>
        <rFont val="Arial"/>
        <family val="2"/>
      </rPr>
      <t>3</t>
    </r>
    <r>
      <rPr>
        <sz val="10"/>
        <rFont val="Arial"/>
        <family val="2"/>
      </rPr>
      <t xml:space="preserve">), se pueden convertir en unidades de energía multiplicando la cantidad de combustible por su valor calorífico neto. Utilice el valor calorífico proporcionado por el proveedor de combustible o un análisis de laboratorio, y si no está disponible utilice los valores caloríficos netos que se proporciona en la Hoja de Trabajo XIV Tabla XIV.E6.
</t>
    </r>
    <r>
      <rPr>
        <i/>
        <sz val="10"/>
        <rFont val="Arial"/>
        <family val="2"/>
      </rPr>
      <t>If the amount of fuel consumed is given in mass (kg or tones) or in volume units (lt or m</t>
    </r>
    <r>
      <rPr>
        <i/>
        <vertAlign val="superscript"/>
        <sz val="10"/>
        <rFont val="Arial"/>
        <family val="2"/>
      </rPr>
      <t>3</t>
    </r>
    <r>
      <rPr>
        <i/>
        <sz val="10"/>
        <rFont val="Arial"/>
        <family val="2"/>
      </rPr>
      <t>), it can be converted into energy units by multiplying the amount of fuel by its net calorific value. Use the calorific value provided by the fuel supplier or a laboratory analysis, and if not available use the net calorific values provided in Worksheet XIV Table XIV.E6.</t>
    </r>
  </si>
  <si>
    <r>
      <t xml:space="preserve">Tipo común de combustible (c)
</t>
    </r>
    <r>
      <rPr>
        <b/>
        <i/>
        <sz val="10"/>
        <rFont val="Arial"/>
        <family val="2"/>
      </rPr>
      <t>Common Fuel Type</t>
    </r>
  </si>
  <si>
    <r>
      <t xml:space="preserve">Tipo común de combustibles líquidos (c)
</t>
    </r>
    <r>
      <rPr>
        <b/>
        <i/>
        <sz val="10"/>
        <rFont val="Arial"/>
        <family val="2"/>
      </rPr>
      <t>Common Liquid Fuel Type</t>
    </r>
  </si>
  <si>
    <r>
      <t>Introduzca la fuente, tipo de combustible, la cantidad anual de combustible (QF), y los factores de emisión específicos (EF</t>
    </r>
    <r>
      <rPr>
        <vertAlign val="subscript"/>
        <sz val="10"/>
        <rFont val="Arial"/>
        <family val="2"/>
      </rPr>
      <t>CO2</t>
    </r>
    <r>
      <rPr>
        <sz val="10"/>
        <rFont val="Arial"/>
        <family val="2"/>
      </rPr>
      <t>) para todas las fuentes de combustión estacionarias en sitio del proyecto. Consulte la Hoja de Trabajo XIV cuadro de los XIV.E para los valores por defecto EF</t>
    </r>
    <r>
      <rPr>
        <vertAlign val="subscript"/>
        <sz val="10"/>
        <rFont val="Arial"/>
        <family val="2"/>
      </rPr>
      <t>CO2</t>
    </r>
    <r>
      <rPr>
        <sz val="10"/>
        <rFont val="Arial"/>
        <family val="2"/>
      </rPr>
      <t xml:space="preserve"> de las fuentes estacionarias. 
</t>
    </r>
    <r>
      <rPr>
        <i/>
        <sz val="10"/>
        <rFont val="Arial"/>
        <family val="2"/>
      </rPr>
      <t>Enter the source, fuel type, annual fuel quantity (QF), and specific emission factors (EF</t>
    </r>
    <r>
      <rPr>
        <i/>
        <vertAlign val="subscript"/>
        <sz val="10"/>
        <rFont val="Arial"/>
        <family val="2"/>
      </rPr>
      <t>CO2</t>
    </r>
    <r>
      <rPr>
        <i/>
        <sz val="10"/>
        <rFont val="Arial"/>
        <family val="2"/>
      </rPr>
      <t>) for all stationary combustion sources at the project site. Refer to Worksheet XIV table in XIV.E for default EF</t>
    </r>
    <r>
      <rPr>
        <i/>
        <vertAlign val="subscript"/>
        <sz val="10"/>
        <rFont val="Arial"/>
        <family val="2"/>
      </rPr>
      <t>CO2</t>
    </r>
    <r>
      <rPr>
        <i/>
        <sz val="10"/>
        <rFont val="Arial"/>
        <family val="2"/>
      </rPr>
      <t xml:space="preserve"> values for stationary sources. Use the net calorific value provided by the fuel supplier, laboratory analysis, or appropriate jurisdictional value. Select net calorific values are provided in Appendix B, Table B.6.</t>
    </r>
  </si>
  <si>
    <r>
      <t xml:space="preserve">Si la cantidad de combustible consumido es dado en masa (kg o tonos) o en unidades de volumen (lt o m3), se pueden convertir en unidades de energía multiplicando la cantidad de combustible por su valor calorífico neto. Utilizar el valor calorífico neto proporcionado por el proveedor del combustible, el análisis de laboratorio o el valor jurisdiccional apropiado. En la tabla B.6 del apéndice B se ofrecen valores caloríficos netos seleccionados.
</t>
    </r>
    <r>
      <rPr>
        <i/>
        <sz val="10"/>
        <rFont val="Arial"/>
        <family val="2"/>
      </rPr>
      <t>If the amount of fuel consumed is given in mass (kg or tones) or in volume units (lt or m3), it can be converted into energy units by multiplying the amount of fuel by its net calorific value. use the net calorific value provided by the fuel supplier, laboratory analysis, or appropriate jurisdictional value. Select net calorific values are provided in Appendix B, Table B.6.</t>
    </r>
  </si>
  <si>
    <r>
      <rPr>
        <vertAlign val="superscript"/>
        <sz val="10"/>
        <rFont val="Arial"/>
        <family val="2"/>
      </rPr>
      <t xml:space="preserve">1. </t>
    </r>
    <r>
      <rPr>
        <sz val="10"/>
        <rFont val="Arial"/>
        <family val="2"/>
      </rPr>
      <t xml:space="preserve">El factor de emisión anual más reciente asociado a la generación de electricidad calculado por el Consejo Nacional del Cambio Climático está disponible en https://cambioclimatico.gob.do/ y equivale a 0.6367 toneladas de CO2 por cada MWh en el momento de la publicación. </t>
    </r>
    <r>
      <rPr>
        <b/>
        <sz val="10"/>
        <color rgb="FFFF0000"/>
        <rFont val="Arial"/>
        <family val="2"/>
      </rPr>
      <t>Actualizar cada año</t>
    </r>
    <r>
      <rPr>
        <sz val="10"/>
        <rFont val="Arial"/>
        <family val="2"/>
      </rPr>
      <t xml:space="preserve">.
</t>
    </r>
    <r>
      <rPr>
        <i/>
        <vertAlign val="superscript"/>
        <sz val="10"/>
        <rFont val="Arial"/>
        <family val="2"/>
      </rPr>
      <t>1</t>
    </r>
    <r>
      <rPr>
        <i/>
        <sz val="10"/>
        <rFont val="Arial"/>
        <family val="2"/>
      </rPr>
      <t xml:space="preserve"> The most recent annual emissions factor associated with power generation calculated by National Climate Change Council is available at https://cambioclimatico.gob.do/ and is equivalent to 0.6367 tons of CO2 for each MWh at the time of publication. </t>
    </r>
    <r>
      <rPr>
        <b/>
        <i/>
        <sz val="10"/>
        <color rgb="FFFF0000"/>
        <rFont val="Arial"/>
        <family val="2"/>
      </rPr>
      <t>Update every year.</t>
    </r>
  </si>
  <si>
    <r>
      <t>If the amount of fuel consumed is given in mass (kg or tones) or in volume units (lt or m</t>
    </r>
    <r>
      <rPr>
        <i/>
        <vertAlign val="superscript"/>
        <sz val="10"/>
        <rFont val="Arial"/>
        <family val="2"/>
      </rPr>
      <t>3</t>
    </r>
    <r>
      <rPr>
        <i/>
        <sz val="10"/>
        <rFont val="Arial"/>
        <family val="2"/>
      </rPr>
      <t>), it can be converted into energy units by multiplying the amount of fuel by its net calorific value. use the net calorific value provided by the fuel supplier, laboratory analysis, or appropriate jurisdictional value. Select net calorific values are provided in Appendix B, Table B.6.</t>
    </r>
  </si>
  <si>
    <r>
      <t>Si la cantidad de combustible consumido es dado en masa (kg o tonos) o en unidades de volumen (lt o m</t>
    </r>
    <r>
      <rPr>
        <vertAlign val="superscript"/>
        <sz val="10"/>
        <rFont val="Arial"/>
        <family val="2"/>
      </rPr>
      <t>3</t>
    </r>
    <r>
      <rPr>
        <sz val="10"/>
        <rFont val="Arial"/>
        <family val="2"/>
      </rPr>
      <t>), se pueden convertir en unidades de energía multiplicando la cantidad de combustible por su valor calorífico neto. Utilizar el valor calorífico neto proporcionado por el proveedor del combustible, el análisis de laboratorio o el valor jurisdiccional apropiado. En la tabla B.6 del apéndice B se ofrecen valores caloríficos netos seleccionados.</t>
    </r>
  </si>
  <si>
    <r>
      <t>If the BCS is composed of multiple digester tanks or covered lagoons, the project only needs to quantify the maximum storage (MS</t>
    </r>
    <r>
      <rPr>
        <i/>
        <vertAlign val="subscript"/>
        <sz val="10"/>
        <rFont val="Arial"/>
        <family val="2"/>
      </rPr>
      <t>SCB</t>
    </r>
    <r>
      <rPr>
        <i/>
        <sz val="10"/>
        <rFont val="Arial"/>
        <family val="2"/>
      </rPr>
      <t>) and biogas flux (F</t>
    </r>
    <r>
      <rPr>
        <i/>
        <vertAlign val="subscript"/>
        <sz val="10"/>
        <rFont val="Arial"/>
        <family val="2"/>
      </rPr>
      <t>pw</t>
    </r>
    <r>
      <rPr>
        <i/>
        <sz val="10"/>
        <rFont val="Arial"/>
        <family val="2"/>
      </rPr>
      <t>) of the SCB components that experienced the venting event. "t" represents the number of days in the month that biogas is vented uncontrolled from the SCB system (can be a fraction).</t>
    </r>
  </si>
  <si>
    <r>
      <t xml:space="preserve">3 </t>
    </r>
    <r>
      <rPr>
        <sz val="10"/>
        <color theme="1"/>
        <rFont val="Arial"/>
        <family val="2"/>
      </rPr>
      <t>El valor MCF corresponde al factor de conversión de metano (%). Los desarrolladores de proyectos deben utilizar el valor MCF del abono líquido para los estanques efluente (en función de la zona climática). Dicho valor se encuentra en la Hoja de Cálculo XIV, Tabla XIV.D. El usuario puede definir y justificar un valor alternativo.  Si se utiliza un valor alternativo, describa brevemente en el cuadro de comentarios cómo se produjo este valor. Si el efluente del digestor es dirigido a más de un sistema de tratamiento, el valor de MCF debe ser la media ponderada basada en la porción que se envía a cada sistema de tratamiento.</t>
    </r>
    <r>
      <rPr>
        <vertAlign val="superscript"/>
        <sz val="10"/>
        <rFont val="Arial"/>
        <family val="2"/>
      </rPr>
      <t xml:space="preserve">
</t>
    </r>
    <r>
      <rPr>
        <i/>
        <sz val="11"/>
        <rFont val="Arial"/>
        <family val="2"/>
      </rPr>
      <t>The MCF value corresponds to the methane conversion factor (%). Project developers should use the MCF value of the liquid fertilizer for effluent ponds (based on the climate zone). This value is found in Spreadsheet XIV, Table XIV.D. An alternative value can be defined and justified by the user.  If an alternative value is used, briefly describe in the comment box how this value was produced. If the digester effluent is directed to more than one treatment system, the MCF value should be the weighted average based on the portion sent to each treatment system.</t>
    </r>
  </si>
  <si>
    <t xml:space="preserve">Se ha desarrollado esta herramienta de cálculo con el fin de ayudar con la cuantificación de las reducciones de emisiones en conformidad con  la V1.0 de Ganaderia para la Republica Dominicana de la Reserva de Acción Climática. La herramienta está diseñada para ser la más "sencilla" como sea posible, aunque a primera vista, esta herramienta puede parecer muy complicada. Es importante señalar que sólo las hojas de trabajo que requieren la entrada del usuario son las hojas III, IV y V. El resto de las hojas de trabajo son para los cálculos automáticos, tablas y referencias y resúmenes de la ecuaciones. Todas las otras hojas de cálculo aparte de las III, IV y V no requieren intervención o manipulación del usuario. Con esto en mente, la disposición general se describe a continuación. </t>
  </si>
  <si>
    <t xml:space="preserve">Exención de responsabilidad: Este modelo está diseñado para ayudar en el cálculo de las reducciones de emisiones utilizando las directrices y metodologías de cálculo que se establece en la V1.0 de Ganaderia para la Republica Dominicana  de la Reserva de Acción Climática. Todos los cálculos de reducción de emisiones deben ser comprobadas y verificadas por un verificador de 3 ª parte, y todos los errores materiales y/o declaraciones erróneas deben corregirse antes del registro de las reducciones de emisiones en la Reserva de Acción Climática. </t>
  </si>
  <si>
    <t>Toros (pastoreo) 
Bulls (grazing)</t>
  </si>
  <si>
    <t>Llama abierta / Open flare</t>
  </si>
  <si>
    <t>Quema magra motor de combustión interno / Lean-burn internal combustion engine</t>
  </si>
  <si>
    <r>
      <t xml:space="preserve">País / </t>
    </r>
    <r>
      <rPr>
        <i/>
        <sz val="10"/>
        <rFont val="Arial"/>
        <family val="2"/>
      </rPr>
      <t>Country</t>
    </r>
  </si>
  <si>
    <r>
      <t xml:space="preserve">ID de Proyecto en la Reserva / </t>
    </r>
    <r>
      <rPr>
        <i/>
        <sz val="10"/>
        <rFont val="Arial"/>
        <family val="2"/>
      </rPr>
      <t>Reserve Project ID</t>
    </r>
    <r>
      <rPr>
        <sz val="10"/>
        <rFont val="Arial"/>
        <family val="2"/>
      </rPr>
      <t xml:space="preserve"> (CAR####)</t>
    </r>
  </si>
  <si>
    <r>
      <t xml:space="preserve">Vacas lecheras y no lecheras (en sistemas intensivos) / </t>
    </r>
    <r>
      <rPr>
        <i/>
        <sz val="10"/>
        <color rgb="FF000000"/>
        <rFont val="Arial"/>
        <family val="2"/>
      </rPr>
      <t>Dairy and non-milking dairy cows (in intensive systems)</t>
    </r>
  </si>
  <si>
    <r>
      <t xml:space="preserve">Novillos/Novillos (en sistemas intensivos) / </t>
    </r>
    <r>
      <rPr>
        <i/>
        <sz val="10"/>
        <color rgb="FF000000"/>
        <rFont val="Arial"/>
        <family val="2"/>
      </rPr>
      <t>Heifers/Steers (in intensive systems)</t>
    </r>
  </si>
  <si>
    <r>
      <t xml:space="preserve">Novillas de reemplazo/crecimiento (en pastos o pastizales) / </t>
    </r>
    <r>
      <rPr>
        <i/>
        <sz val="10"/>
        <rFont val="Arial"/>
        <family val="2"/>
      </rPr>
      <t>Replacement/growing heifers (in pasture or rangeland)</t>
    </r>
  </si>
  <si>
    <r>
      <t xml:space="preserve">Toros (pastoreo) / </t>
    </r>
    <r>
      <rPr>
        <i/>
        <sz val="10"/>
        <color rgb="FF000000"/>
        <rFont val="Arial"/>
        <family val="2"/>
      </rPr>
      <t>Bulls (grazing)</t>
    </r>
  </si>
  <si>
    <r>
      <t xml:space="preserve">Terneros (en forraje, en pastos/pastizales) / </t>
    </r>
    <r>
      <rPr>
        <i/>
        <sz val="10"/>
        <color rgb="FF000000"/>
        <rFont val="Arial"/>
        <family val="2"/>
      </rPr>
      <t>Calves (on forage, in pasture/rangeland)</t>
    </r>
  </si>
  <si>
    <r>
      <t xml:space="preserve">Terneros (en lechero, en pastos/pastizales) / </t>
    </r>
    <r>
      <rPr>
        <i/>
        <sz val="10"/>
        <color rgb="FF000000"/>
        <rFont val="Arial"/>
        <family val="2"/>
      </rPr>
      <t>Calves (on milk, in pasture/rangeland)</t>
    </r>
  </si>
  <si>
    <r>
      <t xml:space="preserve">Novillas y novillos (en pastos/pastizales)/ </t>
    </r>
    <r>
      <rPr>
        <i/>
        <sz val="10"/>
        <color rgb="FF000000"/>
        <rFont val="Arial"/>
        <family val="2"/>
      </rPr>
      <t>Heifers and Steers (in pasture/rangeland)</t>
    </r>
  </si>
  <si>
    <t>Vacas (en pastos/pastizales) / Cows (in pasture/rangeland)</t>
  </si>
  <si>
    <r>
      <t xml:space="preserve">Cerdos de vivero / </t>
    </r>
    <r>
      <rPr>
        <i/>
        <sz val="10"/>
        <rFont val="Arial"/>
        <family val="2"/>
      </rPr>
      <t>Nursery swine</t>
    </r>
  </si>
  <si>
    <r>
      <t xml:space="preserve">Cerdos en crecimiento / </t>
    </r>
    <r>
      <rPr>
        <i/>
        <sz val="10"/>
        <rFont val="Arial"/>
        <family val="2"/>
      </rPr>
      <t>Growing swine</t>
    </r>
  </si>
  <si>
    <r>
      <t xml:space="preserve">Cerdo Terminado / </t>
    </r>
    <r>
      <rPr>
        <i/>
        <sz val="10"/>
        <rFont val="Arial"/>
        <family val="2"/>
      </rPr>
      <t>Finished swine</t>
    </r>
  </si>
  <si>
    <r>
      <t xml:space="preserve">Cerdo macho / </t>
    </r>
    <r>
      <rPr>
        <i/>
        <sz val="10"/>
        <rFont val="Arial"/>
        <family val="2"/>
      </rPr>
      <t>Male swine</t>
    </r>
  </si>
  <si>
    <r>
      <t xml:space="preserve">Cerdo hembra / </t>
    </r>
    <r>
      <rPr>
        <i/>
        <sz val="10"/>
        <rFont val="Arial"/>
        <family val="2"/>
      </rPr>
      <t>Female swine</t>
    </r>
  </si>
  <si>
    <r>
      <t xml:space="preserve">Gallinas / </t>
    </r>
    <r>
      <rPr>
        <i/>
        <sz val="10"/>
        <color rgb="FF000000"/>
        <rFont val="Arial"/>
        <family val="2"/>
      </rPr>
      <t>Hens</t>
    </r>
  </si>
  <si>
    <r>
      <t xml:space="preserve">Pollitas / </t>
    </r>
    <r>
      <rPr>
        <i/>
        <sz val="10"/>
        <color rgb="FF000000"/>
        <rFont val="Arial"/>
        <family val="2"/>
      </rPr>
      <t>Pullets</t>
    </r>
  </si>
  <si>
    <t>Pollos de engorde / Broilers</t>
  </si>
  <si>
    <r>
      <t>Categoría de Ganado</t>
    </r>
    <r>
      <rPr>
        <b/>
        <i/>
        <sz val="10"/>
        <rFont val="Arial"/>
        <family val="2"/>
      </rPr>
      <t xml:space="preserve"> (L) Livestock Category </t>
    </r>
  </si>
  <si>
    <t>Vacas lecheras y no lecheras (en sistemas intensivos) 
Dairy and non-milking dairy cows (in intensive systems)</t>
  </si>
  <si>
    <t>Novillos/Novillos (en sistemas intensivos) 
Heifers/Steers (in intensive systems)</t>
  </si>
  <si>
    <t>Novillas de reemplazo/crecimiento (en pastos o pastizales) 
Replacement/growing heifers (in pasture or rangeland)</t>
  </si>
  <si>
    <t>Terneros (en forraje, en pastos/pastizales) 
Calves (on forage, in pasture/rangeland)</t>
  </si>
  <si>
    <t>Terneros (en lechero, en pastos/pastizales) 
Calves (on milk, in pasture/rangeland)</t>
  </si>
  <si>
    <t>Novillas y novillos (en pastos/pastizales)
Heifers and Steers (in pasture/rangeland)</t>
  </si>
  <si>
    <t>Cerdos de vivero 
Nursery swine</t>
  </si>
  <si>
    <t>Cerdos en crecimiento 
Growing swine</t>
  </si>
  <si>
    <t>Cerdo Terminado
Finished swine</t>
  </si>
  <si>
    <t>Cerdo macho
Male swine</t>
  </si>
  <si>
    <t>Cerdo hembra 
Female swine</t>
  </si>
  <si>
    <t>Gallinas 
Hens</t>
  </si>
  <si>
    <t>Pollitas 
Pullets</t>
  </si>
  <si>
    <t>Pollos de engorde 
Broilers</t>
  </si>
  <si>
    <r>
      <t xml:space="preserve">Gallinas 
</t>
    </r>
    <r>
      <rPr>
        <i/>
        <sz val="10"/>
        <color rgb="FF000000"/>
        <rFont val="Arial"/>
        <family val="2"/>
      </rPr>
      <t>Hens</t>
    </r>
  </si>
  <si>
    <r>
      <t xml:space="preserve">Pollitas 
</t>
    </r>
    <r>
      <rPr>
        <i/>
        <sz val="10"/>
        <color rgb="FF000000"/>
        <rFont val="Arial"/>
        <family val="2"/>
      </rPr>
      <t>Pullets</t>
    </r>
  </si>
  <si>
    <t>Zona Climatica / Climate Zone</t>
  </si>
  <si>
    <t>From 2019 Refinement to the 2006 IPCC Guidelines for National Greenhouse Gas Inventories, Chapter 10: Emissions from Livestock and Manure Management, Table 10.16</t>
  </si>
  <si>
    <t>Tabla XIV.D. Factores de Conversión de Metano (MCF) por Componente del Sistema de Manejo de Estiércol/Fuente de Metano ‘S’ del IPCC 2019</t>
  </si>
  <si>
    <r>
      <t xml:space="preserve">Líquido/ Abono líquido sin formación de costra natural / </t>
    </r>
    <r>
      <rPr>
        <i/>
        <sz val="10"/>
        <color rgb="FF000000"/>
        <rFont val="Arial"/>
        <family val="2"/>
      </rPr>
      <t>Liquid/Slurry without natural crust cover</t>
    </r>
  </si>
  <si>
    <r>
      <t xml:space="preserve">Pastura/pradera/potrero / </t>
    </r>
    <r>
      <rPr>
        <i/>
        <sz val="10"/>
        <color rgb="FF000000"/>
        <rFont val="Arial"/>
        <family val="2"/>
      </rPr>
      <t>Pasture/range/paddock</t>
    </r>
  </si>
  <si>
    <t>Esparcimiento diario / Daily spread</t>
  </si>
  <si>
    <r>
      <t xml:space="preserve">Corral de engorda / </t>
    </r>
    <r>
      <rPr>
        <i/>
        <sz val="10"/>
        <color rgb="FF000000"/>
        <rFont val="Arial"/>
        <family val="2"/>
      </rPr>
      <t>Dry lot</t>
    </r>
  </si>
  <si>
    <r>
      <t xml:space="preserve">Almacenamiento en fosas por debajo de las instalaciones de confinamiento de los animales &lt; 1 mes / </t>
    </r>
    <r>
      <rPr>
        <i/>
        <sz val="10"/>
        <color rgb="FF000000"/>
        <rFont val="Arial"/>
        <family val="2"/>
      </rPr>
      <t>Pit storage below animal confinements &lt; 1 month</t>
    </r>
  </si>
  <si>
    <r>
      <t xml:space="preserve">Cama profunda para ganado vacuno y porcino &lt; 1 mes / </t>
    </r>
    <r>
      <rPr>
        <i/>
        <sz val="10"/>
        <color rgb="FF000000"/>
        <rFont val="Arial"/>
        <family val="2"/>
      </rPr>
      <t>Cattle and swine deep bedding &lt; 1 month</t>
    </r>
  </si>
  <si>
    <r>
      <t xml:space="preserve">Cama profunda para ganado vacuno y porcino &gt; 1 mes / </t>
    </r>
    <r>
      <rPr>
        <i/>
        <sz val="10"/>
        <color rgb="FF000000"/>
        <rFont val="Arial"/>
        <family val="2"/>
      </rPr>
      <t>Cattle and swine deep bedding &gt; 1 month</t>
    </r>
  </si>
  <si>
    <r>
      <t xml:space="preserve">Líquido/ Abono líquido con formación de costra natural / </t>
    </r>
    <r>
      <rPr>
        <i/>
        <sz val="10"/>
        <color rgb="FF000000"/>
        <rFont val="Arial"/>
        <family val="2"/>
      </rPr>
      <t>Liquid/slurry with natural crust cover</t>
    </r>
  </si>
  <si>
    <r>
      <t xml:space="preserve">Anaeróbicos / </t>
    </r>
    <r>
      <rPr>
        <b/>
        <i/>
        <sz val="10"/>
        <rFont val="Arial"/>
        <family val="2"/>
      </rPr>
      <t>Anerobic</t>
    </r>
  </si>
  <si>
    <r>
      <t xml:space="preserve">No anaeróbicos (Otros) / </t>
    </r>
    <r>
      <rPr>
        <b/>
        <i/>
        <sz val="10"/>
        <rFont val="Arial"/>
        <family val="2"/>
      </rPr>
      <t>Non-Anerobic</t>
    </r>
  </si>
  <si>
    <r>
      <t xml:space="preserve">Almacenamiento en fosas por debajo de las instalaciones de confinamiento de los animales &gt; 1 mes / </t>
    </r>
    <r>
      <rPr>
        <i/>
        <sz val="10"/>
        <color rgb="FF000000"/>
        <rFont val="Arial"/>
        <family val="2"/>
      </rPr>
      <t>Pit storage below animal confinements 1 month</t>
    </r>
  </si>
  <si>
    <r>
      <t xml:space="preserve">Almacenamiento en fosas por debajo de las instalaciones de confinamiento de los animales &gt; 1 mes / </t>
    </r>
    <r>
      <rPr>
        <i/>
        <sz val="10"/>
        <color rgb="FF000000"/>
        <rFont val="Arial"/>
        <family val="2"/>
      </rPr>
      <t>Pit storage below animal confinements 3 month</t>
    </r>
  </si>
  <si>
    <r>
      <t xml:space="preserve">Almacenamiento en fosas por debajo de las instalaciones de confinamiento de los animales &gt; 1 mes / </t>
    </r>
    <r>
      <rPr>
        <i/>
        <sz val="10"/>
        <color rgb="FF000000"/>
        <rFont val="Arial"/>
        <family val="2"/>
      </rPr>
      <t>Pit storage below animal confinements 4 month</t>
    </r>
  </si>
  <si>
    <r>
      <t xml:space="preserve">Almacenamiento en fosas por debajo de las instalaciones de confinamiento de los animales &gt; 1 mes / </t>
    </r>
    <r>
      <rPr>
        <i/>
        <sz val="10"/>
        <color rgb="FF000000"/>
        <rFont val="Arial"/>
        <family val="2"/>
      </rPr>
      <t>Pit storage below animal confinements 6 month</t>
    </r>
  </si>
  <si>
    <r>
      <t xml:space="preserve">Almacenamiento en fosas por debajo de las instalaciones de confinamiento de los animales &gt; 1 mes / </t>
    </r>
    <r>
      <rPr>
        <i/>
        <sz val="10"/>
        <color rgb="FF000000"/>
        <rFont val="Arial"/>
        <family val="2"/>
      </rPr>
      <t>Pit storage below animal confinements 12 month</t>
    </r>
  </si>
  <si>
    <r>
      <t xml:space="preserve">Composteo – en tanque / </t>
    </r>
    <r>
      <rPr>
        <i/>
        <sz val="10"/>
        <color rgb="FF000000"/>
        <rFont val="Arial"/>
        <family val="2"/>
      </rPr>
      <t>Composting - in-vessel</t>
    </r>
  </si>
  <si>
    <r>
      <t xml:space="preserve">Composteo – pila estática / </t>
    </r>
    <r>
      <rPr>
        <i/>
        <sz val="10"/>
        <color rgb="FF000000"/>
        <rFont val="Arial"/>
        <family val="2"/>
      </rPr>
      <t>Composting - static pile</t>
    </r>
  </si>
  <si>
    <r>
      <t xml:space="preserve">Composteo – Intensivo en Hileras / </t>
    </r>
    <r>
      <rPr>
        <i/>
        <sz val="10"/>
        <color rgb="FF000000"/>
        <rFont val="Arial"/>
        <family val="2"/>
      </rPr>
      <t>Composting - intensive windrow</t>
    </r>
  </si>
  <si>
    <r>
      <t xml:space="preserve">Composteo – Pasivo en Hileras / </t>
    </r>
    <r>
      <rPr>
        <i/>
        <sz val="10"/>
        <color rgb="FF000000"/>
        <rFont val="Arial"/>
        <family val="2"/>
      </rPr>
      <t>Composting - passive windrow</t>
    </r>
  </si>
  <si>
    <r>
      <t xml:space="preserve">Tratamiento aeróbico / </t>
    </r>
    <r>
      <rPr>
        <i/>
        <sz val="10"/>
        <color rgb="FF000000"/>
        <rFont val="Arial"/>
        <family val="2"/>
      </rPr>
      <t>Aerobic treatment</t>
    </r>
  </si>
  <si>
    <r>
      <t xml:space="preserve">Quemado para combustible / </t>
    </r>
    <r>
      <rPr>
        <i/>
        <sz val="10"/>
        <color rgb="FF000000"/>
        <rFont val="Arial"/>
        <family val="2"/>
      </rPr>
      <t>Burning for Fuel</t>
    </r>
  </si>
  <si>
    <r>
      <t xml:space="preserve">Almacenamiento sólido - cubierto/compactado / </t>
    </r>
    <r>
      <rPr>
        <i/>
        <sz val="10"/>
        <color rgb="FF000000"/>
        <rFont val="Arial"/>
        <family val="2"/>
      </rPr>
      <t>Solid Storage</t>
    </r>
    <r>
      <rPr>
        <sz val="10"/>
        <color rgb="FF000000"/>
        <rFont val="Arial"/>
        <family val="2"/>
      </rPr>
      <t xml:space="preserve"> - covered/compacted</t>
    </r>
  </si>
  <si>
    <r>
      <t xml:space="preserve">Almacenamiento sólido - aditivos / </t>
    </r>
    <r>
      <rPr>
        <i/>
        <sz val="10"/>
        <color rgb="FF000000"/>
        <rFont val="Arial"/>
        <family val="2"/>
      </rPr>
      <t>Solid Storage</t>
    </r>
    <r>
      <rPr>
        <sz val="10"/>
        <color rgb="FF000000"/>
        <rFont val="Arial"/>
        <family val="2"/>
      </rPr>
      <t xml:space="preserve"> - Additives</t>
    </r>
  </si>
  <si>
    <r>
      <t xml:space="preserve">Almacenamiento sólido - adicion de agente de cargacional / </t>
    </r>
    <r>
      <rPr>
        <i/>
        <sz val="10"/>
        <color rgb="FF000000"/>
        <rFont val="Arial"/>
        <family val="2"/>
      </rPr>
      <t>Solid Storage - Bulking agent addditional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</si>
</sst>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 #,##0.00_-;_-* &quot;-&quot;??_-;_-@_-"/>
    <numFmt numFmtId="165" formatCode="#,##0.000"/>
    <numFmt numFmtId="166" formatCode="0.000"/>
    <numFmt numFmtId="167" formatCode="#,##0_);\-#,##0"/>
    <numFmt numFmtId="168" formatCode="#,##0.00_);\-#,##0.00"/>
    <numFmt numFmtId="169" formatCode="0.0"/>
    <numFmt numFmtId="170" formatCode="_(* #,##0_);_(* \(#,##0\);_(* &quot;-&quot;??_);_(@_)"/>
    <numFmt numFmtId="171" formatCode="_-* #,##0.0000_-;\-* #,##0.0000_-;_-* &quot;-&quot;??_-;_-@_-"/>
    <numFmt numFmtId="172" formatCode="_-* #,##0.000_-;\-* #,##0.000_-;_-* &quot;-&quot;???_-;_-@_-"/>
    <numFmt numFmtId="173" formatCode="#,##0.0"/>
    <numFmt numFmtId="174" formatCode="m/d/yy;@"/>
    <numFmt numFmtId="175" formatCode="dd/mm/yyyy;@"/>
    <numFmt numFmtId="176" formatCode="mm/dd/yyyy"/>
  </numFmts>
  <fonts count="97" x14ac:knownFonts="1">
    <font>
      <sz val="12"/>
      <color theme="1"/>
      <name val="Calibri"/>
      <family val="2"/>
      <scheme val="minor"/>
    </font>
    <font>
      <sz val="12"/>
      <color theme="1"/>
      <name val="Calibri"/>
      <family val="2"/>
      <scheme val="minor"/>
    </font>
    <font>
      <b/>
      <sz val="10"/>
      <color indexed="10"/>
      <name val="Arial"/>
      <family val="2"/>
    </font>
    <font>
      <sz val="10"/>
      <name val="Arial"/>
      <family val="2"/>
    </font>
    <font>
      <b/>
      <sz val="10"/>
      <name val="Arial"/>
      <family val="2"/>
    </font>
    <font>
      <b/>
      <sz val="14"/>
      <name val="Arial"/>
      <family val="2"/>
    </font>
    <font>
      <b/>
      <u/>
      <sz val="12"/>
      <name val="Arial"/>
      <family val="2"/>
    </font>
    <font>
      <b/>
      <u/>
      <vertAlign val="subscript"/>
      <sz val="12"/>
      <name val="Arial"/>
      <family val="2"/>
    </font>
    <font>
      <u/>
      <sz val="10"/>
      <color indexed="10"/>
      <name val="Arial"/>
      <family val="2"/>
    </font>
    <font>
      <sz val="10"/>
      <color indexed="10"/>
      <name val="Arial"/>
      <family val="2"/>
    </font>
    <font>
      <i/>
      <sz val="10"/>
      <name val="Arial"/>
      <family val="2"/>
    </font>
    <font>
      <b/>
      <vertAlign val="subscript"/>
      <sz val="10"/>
      <name val="Arial"/>
      <family val="2"/>
    </font>
    <font>
      <b/>
      <i/>
      <sz val="10"/>
      <name val="Arial"/>
      <family val="2"/>
    </font>
    <font>
      <b/>
      <vertAlign val="superscript"/>
      <sz val="10"/>
      <name val="Arial"/>
      <family val="2"/>
    </font>
    <font>
      <b/>
      <u/>
      <sz val="10"/>
      <name val="Arial"/>
      <family val="2"/>
    </font>
    <font>
      <b/>
      <sz val="12"/>
      <name val="Arial"/>
      <family val="2"/>
    </font>
    <font>
      <vertAlign val="subscript"/>
      <sz val="10"/>
      <name val="Arial"/>
      <family val="2"/>
    </font>
    <font>
      <u/>
      <sz val="12"/>
      <name val="Arial"/>
      <family val="2"/>
    </font>
    <font>
      <u/>
      <sz val="10"/>
      <name val="Arial"/>
      <family val="2"/>
    </font>
    <font>
      <vertAlign val="superscript"/>
      <sz val="10"/>
      <name val="Arial"/>
      <family val="2"/>
    </font>
    <font>
      <sz val="10"/>
      <color theme="1"/>
      <name val="Arial"/>
      <family val="2"/>
    </font>
    <font>
      <sz val="10"/>
      <color theme="0"/>
      <name val="Arial"/>
      <family val="2"/>
    </font>
    <font>
      <sz val="10"/>
      <color indexed="8"/>
      <name val="Arial"/>
      <family val="2"/>
    </font>
    <font>
      <u/>
      <sz val="12"/>
      <color theme="10"/>
      <name val="Calibri"/>
      <family val="2"/>
      <scheme val="minor"/>
    </font>
    <font>
      <u/>
      <sz val="12"/>
      <color theme="11"/>
      <name val="Calibri"/>
      <family val="2"/>
      <scheme val="minor"/>
    </font>
    <font>
      <b/>
      <sz val="10"/>
      <color indexed="8"/>
      <name val="Arial"/>
      <family val="2"/>
    </font>
    <font>
      <sz val="10"/>
      <color rgb="FF000000"/>
      <name val="Arial"/>
      <family val="2"/>
    </font>
    <font>
      <b/>
      <sz val="10"/>
      <color rgb="FF000000"/>
      <name val="Arial"/>
      <family val="2"/>
    </font>
    <font>
      <sz val="10"/>
      <color theme="1"/>
      <name val="Calibri"/>
      <family val="2"/>
      <scheme val="minor"/>
    </font>
    <font>
      <sz val="10"/>
      <color indexed="63"/>
      <name val="Arial"/>
      <family val="2"/>
    </font>
    <font>
      <sz val="10"/>
      <color rgb="FFFF0000"/>
      <name val="Arial"/>
      <family val="2"/>
    </font>
    <font>
      <sz val="10"/>
      <color indexed="22"/>
      <name val="Arial"/>
      <family val="2"/>
    </font>
    <font>
      <b/>
      <vertAlign val="subscript"/>
      <sz val="12"/>
      <name val="Arial"/>
      <family val="2"/>
    </font>
    <font>
      <i/>
      <sz val="10"/>
      <color indexed="10"/>
      <name val="Arial"/>
      <family val="2"/>
    </font>
    <font>
      <b/>
      <u/>
      <sz val="11"/>
      <name val="Arial"/>
      <family val="2"/>
    </font>
    <font>
      <b/>
      <sz val="10"/>
      <color rgb="FFFF0000"/>
      <name val="Arial"/>
      <family val="2"/>
    </font>
    <font>
      <b/>
      <i/>
      <u/>
      <sz val="12"/>
      <name val="Arial"/>
      <family val="2"/>
    </font>
    <font>
      <vertAlign val="superscript"/>
      <sz val="10"/>
      <color rgb="FF000000"/>
      <name val="Arial"/>
      <family val="2"/>
    </font>
    <font>
      <sz val="8"/>
      <name val="Calibri"/>
      <family val="2"/>
      <scheme val="minor"/>
    </font>
    <font>
      <sz val="10"/>
      <color theme="0" tint="-0.14999847407452621"/>
      <name val="Arial"/>
      <family val="2"/>
    </font>
    <font>
      <b/>
      <sz val="10"/>
      <color theme="1"/>
      <name val="Arial"/>
      <family val="2"/>
    </font>
    <font>
      <vertAlign val="subscript"/>
      <sz val="12"/>
      <color theme="1"/>
      <name val="Calibri"/>
      <family val="2"/>
      <scheme val="minor"/>
    </font>
    <font>
      <b/>
      <vertAlign val="superscript"/>
      <sz val="12"/>
      <name val="Arial"/>
      <family val="2"/>
    </font>
    <font>
      <b/>
      <sz val="10"/>
      <color indexed="52"/>
      <name val="Arial"/>
      <family val="2"/>
    </font>
    <font>
      <b/>
      <sz val="12"/>
      <color theme="0"/>
      <name val="Arial"/>
      <family val="2"/>
    </font>
    <font>
      <vertAlign val="subscript"/>
      <sz val="10"/>
      <color indexed="10"/>
      <name val="Arial"/>
      <family val="2"/>
    </font>
    <font>
      <vertAlign val="superscript"/>
      <sz val="10"/>
      <color rgb="FFFF0000"/>
      <name val="Arial"/>
      <family val="2"/>
    </font>
    <font>
      <sz val="36"/>
      <name val="Franklin Gothic Demi Cond"/>
      <family val="2"/>
    </font>
    <font>
      <sz val="11"/>
      <color rgb="FF1F497D"/>
      <name val="Calibri"/>
      <family val="2"/>
      <scheme val="minor"/>
    </font>
    <font>
      <b/>
      <sz val="16"/>
      <name val="Arial"/>
      <family val="2"/>
    </font>
    <font>
      <b/>
      <i/>
      <sz val="12"/>
      <name val="Arial"/>
      <family val="2"/>
    </font>
    <font>
      <i/>
      <sz val="10"/>
      <color theme="1"/>
      <name val="Arial"/>
      <family val="2"/>
    </font>
    <font>
      <i/>
      <sz val="10"/>
      <color rgb="FFFF0000"/>
      <name val="Arial"/>
      <family val="2"/>
    </font>
    <font>
      <b/>
      <i/>
      <sz val="10"/>
      <color rgb="FFFF0000"/>
      <name val="Arial"/>
      <family val="2"/>
    </font>
    <font>
      <b/>
      <i/>
      <sz val="14"/>
      <name val="Arial"/>
      <family val="2"/>
    </font>
    <font>
      <i/>
      <vertAlign val="superscript"/>
      <sz val="10"/>
      <name val="Arial"/>
      <family val="2"/>
    </font>
    <font>
      <sz val="10"/>
      <color theme="1" tint="0.499984740745262"/>
      <name val="Arial"/>
      <family val="2"/>
    </font>
    <font>
      <i/>
      <sz val="10"/>
      <color rgb="FF000000"/>
      <name val="Arial"/>
      <family val="2"/>
    </font>
    <font>
      <b/>
      <sz val="10"/>
      <color rgb="FFFFFFFF"/>
      <name val="Arial"/>
      <family val="2"/>
    </font>
    <font>
      <vertAlign val="subscript"/>
      <sz val="8"/>
      <name val="Arial"/>
      <family val="2"/>
    </font>
    <font>
      <sz val="9"/>
      <color theme="1"/>
      <name val="Arial"/>
      <family val="2"/>
    </font>
    <font>
      <b/>
      <i/>
      <sz val="10"/>
      <color rgb="FFFFFFFF"/>
      <name val="Arial"/>
      <family val="2"/>
    </font>
    <font>
      <i/>
      <vertAlign val="subscript"/>
      <sz val="10"/>
      <color theme="1"/>
      <name val="Arial"/>
      <family val="2"/>
    </font>
    <font>
      <b/>
      <i/>
      <sz val="10"/>
      <color rgb="FF000000"/>
      <name val="Arial"/>
      <family val="2"/>
    </font>
    <font>
      <b/>
      <sz val="9"/>
      <color theme="1"/>
      <name val="Arial"/>
      <family val="2"/>
    </font>
    <font>
      <b/>
      <sz val="9"/>
      <color rgb="FFFFFFFF"/>
      <name val="Arial"/>
      <family val="2"/>
    </font>
    <font>
      <b/>
      <sz val="9"/>
      <color rgb="FF000000"/>
      <name val="Arial"/>
      <family val="2"/>
    </font>
    <font>
      <b/>
      <vertAlign val="superscript"/>
      <sz val="9"/>
      <color rgb="FF000000"/>
      <name val="Arial"/>
      <family val="2"/>
    </font>
    <font>
      <sz val="9"/>
      <color rgb="FF000000"/>
      <name val="Arial"/>
      <family val="2"/>
    </font>
    <font>
      <vertAlign val="superscript"/>
      <sz val="9"/>
      <color rgb="FF000000"/>
      <name val="Arial"/>
      <family val="2"/>
    </font>
    <font>
      <vertAlign val="subscript"/>
      <sz val="9"/>
      <color rgb="FF000000"/>
      <name val="Arial"/>
      <family val="2"/>
    </font>
    <font>
      <i/>
      <sz val="9"/>
      <color rgb="FF000000"/>
      <name val="Arial"/>
      <family val="2"/>
    </font>
    <font>
      <b/>
      <i/>
      <sz val="9"/>
      <color rgb="FF000000"/>
      <name val="Arial"/>
      <family val="2"/>
    </font>
    <font>
      <b/>
      <i/>
      <sz val="9"/>
      <color rgb="FFFFFFFF"/>
      <name val="Arial"/>
      <family val="2"/>
    </font>
    <font>
      <i/>
      <vertAlign val="superscript"/>
      <sz val="9"/>
      <color rgb="FF000000"/>
      <name val="Arial"/>
      <family val="2"/>
    </font>
    <font>
      <i/>
      <vertAlign val="subscript"/>
      <sz val="9"/>
      <color rgb="FF000000"/>
      <name val="Arial"/>
      <family val="2"/>
    </font>
    <font>
      <i/>
      <sz val="9"/>
      <color theme="1"/>
      <name val="Arial"/>
      <family val="2"/>
    </font>
    <font>
      <vertAlign val="superscript"/>
      <sz val="7"/>
      <color rgb="FF000000"/>
      <name val="Arial"/>
      <family val="2"/>
    </font>
    <font>
      <b/>
      <vertAlign val="superscript"/>
      <sz val="10"/>
      <color rgb="FF000000"/>
      <name val="Arial"/>
      <family val="2"/>
    </font>
    <font>
      <b/>
      <i/>
      <vertAlign val="superscript"/>
      <sz val="10"/>
      <color rgb="FF000000"/>
      <name val="Arial"/>
      <family val="2"/>
    </font>
    <font>
      <sz val="9"/>
      <name val="Arial"/>
      <family val="2"/>
    </font>
    <font>
      <i/>
      <sz val="9"/>
      <name val="Arial"/>
      <family val="2"/>
    </font>
    <font>
      <b/>
      <i/>
      <sz val="9"/>
      <name val="Arial"/>
      <family val="2"/>
    </font>
    <font>
      <i/>
      <sz val="10"/>
      <color rgb="FF333333"/>
      <name val="Arial"/>
      <family val="2"/>
    </font>
    <font>
      <b/>
      <i/>
      <sz val="9"/>
      <color theme="1"/>
      <name val="Arial"/>
      <family val="2"/>
    </font>
    <font>
      <i/>
      <sz val="12"/>
      <color theme="1"/>
      <name val="Calibri"/>
      <family val="2"/>
      <scheme val="minor"/>
    </font>
    <font>
      <i/>
      <vertAlign val="superscript"/>
      <sz val="10"/>
      <color theme="1"/>
      <name val="Arial"/>
      <family val="2"/>
    </font>
    <font>
      <b/>
      <i/>
      <u/>
      <sz val="10"/>
      <name val="Arial"/>
      <family val="2"/>
    </font>
    <font>
      <b/>
      <i/>
      <sz val="10"/>
      <color theme="1"/>
      <name val="Arial"/>
      <family val="2"/>
    </font>
    <font>
      <b/>
      <i/>
      <vertAlign val="subscript"/>
      <sz val="10"/>
      <name val="Arial"/>
      <family val="2"/>
    </font>
    <font>
      <i/>
      <vertAlign val="subscript"/>
      <sz val="10"/>
      <name val="Arial"/>
      <family val="2"/>
    </font>
    <font>
      <i/>
      <vertAlign val="subscript"/>
      <sz val="12"/>
      <color theme="1"/>
      <name val="Calibri"/>
      <family val="2"/>
      <scheme val="minor"/>
    </font>
    <font>
      <i/>
      <sz val="11"/>
      <name val="Arial"/>
      <family val="2"/>
    </font>
    <font>
      <b/>
      <vertAlign val="superscript"/>
      <sz val="10"/>
      <color rgb="FFFF0000"/>
      <name val="Arial"/>
      <family val="2"/>
    </font>
    <font>
      <b/>
      <i/>
      <vertAlign val="superscript"/>
      <sz val="10"/>
      <color rgb="FFFF0000"/>
      <name val="Arial"/>
      <family val="2"/>
    </font>
    <font>
      <i/>
      <vertAlign val="subscript"/>
      <sz val="11"/>
      <name val="Arial"/>
      <family val="2"/>
    </font>
    <font>
      <b/>
      <i/>
      <u/>
      <sz val="11"/>
      <name val="Arial"/>
      <family val="2"/>
    </font>
  </fonts>
  <fills count="2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indexed="44"/>
        <bgColor indexed="64"/>
      </patternFill>
    </fill>
    <fill>
      <patternFill patternType="solid">
        <fgColor indexed="47"/>
        <bgColor indexed="64"/>
      </patternFill>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indexed="22"/>
        <bgColor indexed="64"/>
      </patternFill>
    </fill>
    <fill>
      <patternFill patternType="solid">
        <fgColor theme="9"/>
        <bgColor indexed="64"/>
      </patternFill>
    </fill>
    <fill>
      <patternFill patternType="solid">
        <fgColor indexed="45"/>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tint="-0.499984740745262"/>
        <bgColor rgb="FF000000"/>
      </patternFill>
    </fill>
    <fill>
      <patternFill patternType="solid">
        <fgColor theme="0" tint="-0.249977111117893"/>
        <bgColor rgb="FF000000"/>
      </patternFill>
    </fill>
    <fill>
      <patternFill patternType="solid">
        <fgColor rgb="FF99CCFF"/>
        <bgColor indexed="64"/>
      </patternFill>
    </fill>
    <fill>
      <patternFill patternType="solid">
        <fgColor indexed="50"/>
        <bgColor indexed="64"/>
      </patternFill>
    </fill>
    <fill>
      <patternFill patternType="solid">
        <fgColor rgb="FFBFBFBF"/>
        <bgColor rgb="FF000000"/>
      </patternFill>
    </fill>
    <fill>
      <patternFill patternType="solid">
        <fgColor rgb="FF2790CE"/>
        <bgColor indexed="64"/>
      </patternFill>
    </fill>
    <fill>
      <patternFill patternType="solid">
        <fgColor theme="0" tint="-0.34998626667073579"/>
        <bgColor indexed="64"/>
      </patternFill>
    </fill>
    <fill>
      <patternFill patternType="solid">
        <fgColor rgb="FF595959"/>
        <bgColor indexed="64"/>
      </patternFill>
    </fill>
  </fills>
  <borders count="148">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right/>
      <top style="thin">
        <color theme="0" tint="-0.34998626667073579"/>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9"/>
      </left>
      <right style="medium">
        <color theme="9"/>
      </right>
      <top style="medium">
        <color theme="9"/>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right style="medium">
        <color theme="9"/>
      </right>
      <top/>
      <bottom/>
      <diagonal/>
    </border>
    <border>
      <left/>
      <right style="medium">
        <color theme="9"/>
      </right>
      <top/>
      <bottom style="medium">
        <color theme="9"/>
      </bottom>
      <diagonal/>
    </border>
    <border>
      <left style="medium">
        <color theme="9"/>
      </left>
      <right/>
      <top/>
      <bottom/>
      <diagonal/>
    </border>
    <border>
      <left style="medium">
        <color theme="9"/>
      </left>
      <right/>
      <top/>
      <bottom style="medium">
        <color theme="9"/>
      </bottom>
      <diagonal/>
    </border>
    <border>
      <left/>
      <right/>
      <top style="thin">
        <color theme="0" tint="-0.24994659260841701"/>
      </top>
      <bottom/>
      <diagonal/>
    </border>
    <border>
      <left/>
      <right style="thin">
        <color auto="1"/>
      </right>
      <top style="medium">
        <color auto="1"/>
      </top>
      <bottom style="thin">
        <color auto="1"/>
      </bottom>
      <diagonal/>
    </border>
    <border>
      <left style="medium">
        <color auto="1"/>
      </left>
      <right/>
      <top/>
      <bottom style="thin">
        <color auto="1"/>
      </bottom>
      <diagonal/>
    </border>
    <border>
      <left/>
      <right style="thin">
        <color auto="1"/>
      </right>
      <top/>
      <bottom style="medium">
        <color auto="1"/>
      </bottom>
      <diagonal/>
    </border>
    <border>
      <left/>
      <right style="medium">
        <color auto="1"/>
      </right>
      <top/>
      <bottom style="thin">
        <color auto="1"/>
      </bottom>
      <diagonal/>
    </border>
    <border>
      <left/>
      <right/>
      <top/>
      <bottom style="medium">
        <color theme="9"/>
      </bottom>
      <diagonal/>
    </border>
    <border>
      <left style="medium">
        <color auto="1"/>
      </left>
      <right/>
      <top style="thin">
        <color auto="1"/>
      </top>
      <bottom/>
      <diagonal/>
    </border>
    <border>
      <left/>
      <right/>
      <top style="thin">
        <color theme="9"/>
      </top>
      <bottom/>
      <diagonal/>
    </border>
    <border>
      <left style="medium">
        <color theme="9"/>
      </left>
      <right/>
      <top style="thin">
        <color theme="9"/>
      </top>
      <bottom/>
      <diagonal/>
    </border>
    <border>
      <left style="medium">
        <color auto="1"/>
      </left>
      <right style="medium">
        <color auto="1"/>
      </right>
      <top/>
      <bottom/>
      <diagonal/>
    </border>
    <border>
      <left/>
      <right/>
      <top style="medium">
        <color auto="1"/>
      </top>
      <bottom style="thin">
        <color auto="1"/>
      </bottom>
      <diagonal/>
    </border>
    <border>
      <left style="medium">
        <color auto="1"/>
      </left>
      <right style="thin">
        <color auto="1"/>
      </right>
      <top style="medium">
        <color auto="1"/>
      </top>
      <bottom style="thin">
        <color indexed="8"/>
      </bottom>
      <diagonal/>
    </border>
    <border>
      <left style="thin">
        <color auto="1"/>
      </left>
      <right style="thin">
        <color indexed="8"/>
      </right>
      <top style="medium">
        <color auto="1"/>
      </top>
      <bottom style="thin">
        <color indexed="8"/>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indexed="64"/>
      </bottom>
      <diagonal/>
    </border>
    <border>
      <left style="medium">
        <color auto="1"/>
      </left>
      <right style="medium">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bottom style="thin">
        <color theme="0" tint="-0.34998626667073579"/>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auto="1"/>
      </left>
      <right/>
      <top style="thin">
        <color auto="1"/>
      </top>
      <bottom style="thin">
        <color auto="1"/>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auto="1"/>
      </right>
      <top style="thin">
        <color auto="1"/>
      </top>
      <bottom style="medium">
        <color indexed="64"/>
      </bottom>
      <diagonal/>
    </border>
    <border>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theme="9"/>
      </left>
      <right/>
      <top style="medium">
        <color theme="9"/>
      </top>
      <bottom style="thin">
        <color theme="9"/>
      </bottom>
      <diagonal/>
    </border>
    <border>
      <left/>
      <right/>
      <top style="medium">
        <color theme="9"/>
      </top>
      <bottom style="thin">
        <color theme="9"/>
      </bottom>
      <diagonal/>
    </border>
    <border>
      <left/>
      <right style="medium">
        <color theme="9"/>
      </right>
      <top style="medium">
        <color theme="9"/>
      </top>
      <bottom style="thin">
        <color theme="9"/>
      </bottom>
      <diagonal/>
    </border>
    <border>
      <left/>
      <right style="medium">
        <color theme="9"/>
      </right>
      <top style="thin">
        <color theme="9"/>
      </top>
      <bottom/>
      <diagonal/>
    </border>
    <border>
      <left style="medium">
        <color theme="9"/>
      </left>
      <right/>
      <top style="medium">
        <color theme="9"/>
      </top>
      <bottom/>
      <diagonal/>
    </border>
    <border>
      <left/>
      <right style="medium">
        <color theme="9"/>
      </right>
      <top style="medium">
        <color theme="9"/>
      </top>
      <bottom/>
      <diagonal/>
    </border>
    <border>
      <left/>
      <right/>
      <top style="medium">
        <color theme="9"/>
      </top>
      <bottom/>
      <diagonal/>
    </border>
    <border>
      <left style="thin">
        <color indexed="64"/>
      </left>
      <right style="thin">
        <color theme="9"/>
      </right>
      <top style="thin">
        <color indexed="64"/>
      </top>
      <bottom style="thin">
        <color indexed="64"/>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theme="9"/>
      </left>
      <right style="thin">
        <color theme="9"/>
      </right>
      <top style="thin">
        <color theme="9"/>
      </top>
      <bottom/>
      <diagonal/>
    </border>
    <border>
      <left style="thin">
        <color theme="9"/>
      </left>
      <right style="thin">
        <color theme="9"/>
      </right>
      <top/>
      <bottom/>
      <diagonal/>
    </border>
    <border>
      <left style="thin">
        <color theme="9"/>
      </left>
      <right style="thin">
        <color theme="9"/>
      </right>
      <top/>
      <bottom style="thin">
        <color theme="9"/>
      </bottom>
      <diagonal/>
    </border>
    <border>
      <left style="thin">
        <color indexed="64"/>
      </left>
      <right/>
      <top/>
      <bottom style="thin">
        <color theme="9"/>
      </bottom>
      <diagonal/>
    </border>
    <border>
      <left/>
      <right style="medium">
        <color auto="1"/>
      </right>
      <top/>
      <bottom style="thin">
        <color theme="9"/>
      </bottom>
      <diagonal/>
    </border>
  </borders>
  <cellStyleXfs count="826">
    <xf numFmtId="0" fontId="0" fillId="0" borderId="0"/>
    <xf numFmtId="164" fontId="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426">
    <xf numFmtId="0" fontId="0" fillId="0" borderId="0" xfId="0"/>
    <xf numFmtId="0" fontId="2" fillId="0" borderId="0" xfId="0" applyFont="1"/>
    <xf numFmtId="0" fontId="3" fillId="0" borderId="0" xfId="0" applyFont="1"/>
    <xf numFmtId="165" fontId="3" fillId="0" borderId="0" xfId="0" applyNumberFormat="1" applyFont="1"/>
    <xf numFmtId="165" fontId="4" fillId="0" borderId="0" xfId="0" applyNumberFormat="1" applyFont="1" applyAlignment="1">
      <alignment horizontal="center" vertical="top" wrapText="1"/>
    </xf>
    <xf numFmtId="0" fontId="3" fillId="0" borderId="0" xfId="0" applyFont="1" applyAlignment="1">
      <alignment vertical="top" wrapText="1"/>
    </xf>
    <xf numFmtId="0" fontId="5" fillId="0" borderId="0" xfId="0" applyFont="1"/>
    <xf numFmtId="0" fontId="3" fillId="0" borderId="3" xfId="0" applyFont="1" applyBorder="1" applyAlignment="1">
      <alignment vertical="top" wrapText="1"/>
    </xf>
    <xf numFmtId="165" fontId="4" fillId="0" borderId="0" xfId="0" applyNumberFormat="1" applyFont="1"/>
    <xf numFmtId="0" fontId="4" fillId="0" borderId="0" xfId="0" applyFont="1"/>
    <xf numFmtId="0" fontId="3" fillId="0" borderId="0" xfId="0" applyFont="1" applyAlignment="1">
      <alignment horizontal="center"/>
    </xf>
    <xf numFmtId="0" fontId="3" fillId="0" borderId="0" xfId="0" applyFont="1" applyAlignment="1">
      <alignment horizontal="left"/>
    </xf>
    <xf numFmtId="165" fontId="4" fillId="0" borderId="0" xfId="0" applyNumberFormat="1" applyFont="1" applyAlignment="1">
      <alignment horizontal="center"/>
    </xf>
    <xf numFmtId="0" fontId="4" fillId="0" borderId="0" xfId="0" applyFont="1" applyAlignment="1">
      <alignment horizontal="left"/>
    </xf>
    <xf numFmtId="165" fontId="3" fillId="0" borderId="0" xfId="0" applyNumberFormat="1" applyFont="1" applyAlignment="1">
      <alignment horizontal="center"/>
    </xf>
    <xf numFmtId="0" fontId="3" fillId="0" borderId="5" xfId="0" applyFont="1" applyBorder="1" applyAlignment="1">
      <alignment vertical="top" wrapText="1"/>
    </xf>
    <xf numFmtId="0" fontId="3" fillId="0" borderId="6" xfId="0" applyFont="1" applyBorder="1" applyAlignment="1">
      <alignment vertical="top" wrapText="1"/>
    </xf>
    <xf numFmtId="0" fontId="6" fillId="0" borderId="0" xfId="0" applyFont="1" applyAlignment="1">
      <alignment horizontal="left"/>
    </xf>
    <xf numFmtId="2" fontId="3" fillId="0" borderId="0" xfId="0" applyNumberFormat="1" applyFont="1"/>
    <xf numFmtId="0" fontId="10" fillId="0" borderId="0" xfId="0" applyFont="1" applyAlignment="1">
      <alignment wrapText="1"/>
    </xf>
    <xf numFmtId="0" fontId="3" fillId="0" borderId="0" xfId="0" applyFont="1" applyAlignment="1">
      <alignment wrapText="1"/>
    </xf>
    <xf numFmtId="165" fontId="3" fillId="0" borderId="0" xfId="0" applyNumberFormat="1" applyFont="1" applyAlignment="1">
      <alignment wrapText="1"/>
    </xf>
    <xf numFmtId="0" fontId="4" fillId="0" borderId="0" xfId="0" applyFont="1" applyAlignment="1">
      <alignment horizontal="center"/>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165" fontId="4" fillId="0" borderId="0" xfId="0" applyNumberFormat="1" applyFont="1" applyAlignment="1">
      <alignment horizontal="center" wrapText="1"/>
    </xf>
    <xf numFmtId="0" fontId="4" fillId="0" borderId="0" xfId="0" applyFont="1" applyAlignment="1">
      <alignment horizontal="center" wrapText="1"/>
    </xf>
    <xf numFmtId="0" fontId="4" fillId="0" borderId="12" xfId="0" applyFont="1" applyBorder="1"/>
    <xf numFmtId="165" fontId="4" fillId="0" borderId="15" xfId="0" applyNumberFormat="1" applyFont="1" applyBorder="1" applyAlignment="1">
      <alignment horizontal="center"/>
    </xf>
    <xf numFmtId="0" fontId="3" fillId="0" borderId="10" xfId="0" applyFont="1" applyBorder="1"/>
    <xf numFmtId="165" fontId="3" fillId="4" borderId="18" xfId="0" applyNumberFormat="1" applyFont="1" applyFill="1" applyBorder="1" applyAlignment="1">
      <alignment horizontal="center"/>
    </xf>
    <xf numFmtId="165" fontId="3" fillId="5" borderId="18" xfId="0" applyNumberFormat="1" applyFont="1" applyFill="1" applyBorder="1" applyAlignment="1">
      <alignment horizontal="center"/>
    </xf>
    <xf numFmtId="3" fontId="9" fillId="2" borderId="18" xfId="0" applyNumberFormat="1" applyFont="1" applyFill="1" applyBorder="1" applyAlignment="1" applyProtection="1">
      <alignment horizontal="center"/>
      <protection locked="0"/>
    </xf>
    <xf numFmtId="165" fontId="3" fillId="5" borderId="11" xfId="0" applyNumberFormat="1" applyFont="1" applyFill="1" applyBorder="1" applyAlignment="1">
      <alignment horizontal="center"/>
    </xf>
    <xf numFmtId="165" fontId="3" fillId="5" borderId="19" xfId="0" applyNumberFormat="1" applyFont="1" applyFill="1" applyBorder="1" applyAlignment="1">
      <alignment horizontal="center"/>
    </xf>
    <xf numFmtId="165" fontId="4" fillId="5" borderId="21" xfId="0" applyNumberFormat="1" applyFont="1" applyFill="1" applyBorder="1" applyAlignment="1">
      <alignment horizontal="center"/>
    </xf>
    <xf numFmtId="165" fontId="4" fillId="5" borderId="22" xfId="0" applyNumberFormat="1" applyFont="1" applyFill="1" applyBorder="1" applyAlignment="1">
      <alignment horizontal="center"/>
    </xf>
    <xf numFmtId="165" fontId="4" fillId="5" borderId="23" xfId="0" applyNumberFormat="1" applyFont="1" applyFill="1" applyBorder="1" applyAlignment="1">
      <alignment horizontal="center"/>
    </xf>
    <xf numFmtId="1" fontId="4" fillId="0" borderId="0" xfId="0" applyNumberFormat="1" applyFont="1"/>
    <xf numFmtId="2" fontId="4" fillId="0" borderId="0" xfId="0" applyNumberFormat="1" applyFont="1"/>
    <xf numFmtId="0" fontId="4" fillId="0" borderId="5" xfId="0" applyFont="1" applyBorder="1"/>
    <xf numFmtId="165" fontId="4" fillId="0" borderId="5" xfId="0" applyNumberFormat="1" applyFont="1" applyBorder="1" applyAlignment="1">
      <alignment horizontal="center"/>
    </xf>
    <xf numFmtId="165" fontId="4" fillId="0" borderId="5" xfId="0" applyNumberFormat="1" applyFont="1" applyBorder="1"/>
    <xf numFmtId="0" fontId="3" fillId="0" borderId="24" xfId="0" applyFont="1" applyBorder="1"/>
    <xf numFmtId="1" fontId="3" fillId="0" borderId="0" xfId="0" applyNumberFormat="1" applyFont="1"/>
    <xf numFmtId="1" fontId="3" fillId="0" borderId="0" xfId="0" applyNumberFormat="1" applyFont="1" applyAlignment="1">
      <alignment horizontal="center"/>
    </xf>
    <xf numFmtId="165" fontId="3" fillId="9" borderId="17" xfId="0" applyNumberFormat="1" applyFont="1" applyFill="1" applyBorder="1" applyAlignment="1">
      <alignment vertical="center" wrapText="1"/>
    </xf>
    <xf numFmtId="165" fontId="9" fillId="0" borderId="0" xfId="0" applyNumberFormat="1" applyFont="1" applyAlignment="1">
      <alignment wrapText="1"/>
    </xf>
    <xf numFmtId="0" fontId="3" fillId="10" borderId="0" xfId="0" applyFont="1" applyFill="1" applyAlignment="1">
      <alignment horizontal="center"/>
    </xf>
    <xf numFmtId="0" fontId="3" fillId="10" borderId="0" xfId="0" applyFont="1" applyFill="1"/>
    <xf numFmtId="165" fontId="3" fillId="5" borderId="18" xfId="0" applyNumberFormat="1" applyFont="1" applyFill="1" applyBorder="1"/>
    <xf numFmtId="165" fontId="3" fillId="4" borderId="18" xfId="0" applyNumberFormat="1" applyFont="1" applyFill="1" applyBorder="1"/>
    <xf numFmtId="165" fontId="3" fillId="5" borderId="11" xfId="0" applyNumberFormat="1" applyFont="1" applyFill="1" applyBorder="1"/>
    <xf numFmtId="0" fontId="3" fillId="0" borderId="0" xfId="0" applyFont="1" applyAlignment="1">
      <alignment horizontal="center" wrapText="1"/>
    </xf>
    <xf numFmtId="165" fontId="4" fillId="5" borderId="29" xfId="0" applyNumberFormat="1" applyFont="1" applyFill="1" applyBorder="1"/>
    <xf numFmtId="165" fontId="4" fillId="0" borderId="27" xfId="0" applyNumberFormat="1" applyFont="1" applyBorder="1" applyAlignment="1">
      <alignment horizontal="center" wrapText="1"/>
    </xf>
    <xf numFmtId="165" fontId="3" fillId="0" borderId="27" xfId="0" applyNumberFormat="1" applyFont="1" applyBorder="1"/>
    <xf numFmtId="0" fontId="4" fillId="0" borderId="26" xfId="0" applyFont="1" applyBorder="1"/>
    <xf numFmtId="0" fontId="4" fillId="0" borderId="31" xfId="0" applyFont="1" applyBorder="1" applyAlignment="1">
      <alignment horizontal="center"/>
    </xf>
    <xf numFmtId="165" fontId="12" fillId="0" borderId="32" xfId="0" applyNumberFormat="1" applyFont="1" applyBorder="1" applyAlignment="1">
      <alignment horizontal="center"/>
    </xf>
    <xf numFmtId="165" fontId="4" fillId="0" borderId="32" xfId="0" applyNumberFormat="1" applyFont="1" applyBorder="1" applyAlignment="1">
      <alignment horizontal="center" wrapText="1"/>
    </xf>
    <xf numFmtId="165" fontId="4" fillId="0" borderId="32" xfId="0" applyNumberFormat="1" applyFont="1" applyBorder="1" applyAlignment="1">
      <alignment horizontal="center"/>
    </xf>
    <xf numFmtId="165" fontId="4" fillId="0" borderId="33" xfId="0" applyNumberFormat="1" applyFont="1" applyBorder="1" applyAlignment="1">
      <alignment horizontal="center"/>
    </xf>
    <xf numFmtId="165" fontId="4" fillId="0" borderId="34" xfId="0" applyNumberFormat="1" applyFont="1" applyBorder="1" applyAlignment="1">
      <alignment horizontal="center"/>
    </xf>
    <xf numFmtId="165" fontId="3" fillId="5" borderId="19" xfId="0" applyNumberFormat="1" applyFont="1" applyFill="1" applyBorder="1"/>
    <xf numFmtId="165" fontId="3" fillId="5" borderId="20" xfId="0" applyNumberFormat="1" applyFont="1" applyFill="1" applyBorder="1"/>
    <xf numFmtId="165" fontId="4" fillId="5" borderId="21" xfId="0" applyNumberFormat="1" applyFont="1" applyFill="1" applyBorder="1"/>
    <xf numFmtId="165" fontId="4" fillId="5" borderId="23" xfId="0" applyNumberFormat="1" applyFont="1" applyFill="1" applyBorder="1"/>
    <xf numFmtId="0" fontId="4" fillId="10" borderId="0" xfId="0" applyFont="1" applyFill="1"/>
    <xf numFmtId="0" fontId="4" fillId="0" borderId="27" xfId="0" applyFont="1" applyBorder="1"/>
    <xf numFmtId="0" fontId="4" fillId="0" borderId="0" xfId="0" applyFont="1" applyAlignment="1">
      <alignment wrapText="1"/>
    </xf>
    <xf numFmtId="0" fontId="4" fillId="0" borderId="32" xfId="0" applyFont="1" applyBorder="1" applyAlignment="1">
      <alignment horizontal="center"/>
    </xf>
    <xf numFmtId="165" fontId="4" fillId="0" borderId="35" xfId="0" applyNumberFormat="1" applyFont="1" applyBorder="1" applyAlignment="1">
      <alignment horizontal="center"/>
    </xf>
    <xf numFmtId="165" fontId="12" fillId="0" borderId="0" xfId="0" applyNumberFormat="1" applyFont="1" applyAlignment="1">
      <alignment horizontal="center"/>
    </xf>
    <xf numFmtId="0" fontId="4" fillId="0" borderId="13" xfId="0" applyFont="1" applyBorder="1"/>
    <xf numFmtId="0" fontId="6" fillId="0" borderId="0" xfId="0" applyFont="1" applyAlignment="1">
      <alignment horizontal="left" vertical="top"/>
    </xf>
    <xf numFmtId="165" fontId="4" fillId="0" borderId="10" xfId="0" applyNumberFormat="1" applyFont="1" applyBorder="1" applyAlignment="1">
      <alignment horizontal="center"/>
    </xf>
    <xf numFmtId="165" fontId="4" fillId="0" borderId="21" xfId="0" applyNumberFormat="1" applyFont="1" applyBorder="1" applyAlignment="1">
      <alignment horizontal="center"/>
    </xf>
    <xf numFmtId="165" fontId="4" fillId="0" borderId="0" xfId="0" applyNumberFormat="1" applyFont="1" applyAlignment="1">
      <alignment horizontal="left"/>
    </xf>
    <xf numFmtId="165" fontId="5" fillId="0" borderId="0" xfId="0" applyNumberFormat="1" applyFont="1"/>
    <xf numFmtId="165" fontId="3" fillId="0" borderId="0" xfId="0" applyNumberFormat="1" applyFont="1" applyAlignment="1">
      <alignment horizontal="left"/>
    </xf>
    <xf numFmtId="165" fontId="6" fillId="0" borderId="0" xfId="0" applyNumberFormat="1" applyFont="1" applyAlignment="1">
      <alignment horizontal="left"/>
    </xf>
    <xf numFmtId="165" fontId="4" fillId="0" borderId="14" xfId="0" applyNumberFormat="1" applyFont="1" applyBorder="1" applyAlignment="1">
      <alignment horizontal="center"/>
    </xf>
    <xf numFmtId="165" fontId="4" fillId="0" borderId="37" xfId="0" applyNumberFormat="1" applyFont="1" applyBorder="1" applyAlignment="1">
      <alignment horizontal="center"/>
    </xf>
    <xf numFmtId="165" fontId="4" fillId="0" borderId="0" xfId="0" applyNumberFormat="1" applyFont="1" applyAlignment="1">
      <alignment wrapText="1"/>
    </xf>
    <xf numFmtId="165" fontId="4" fillId="0" borderId="0" xfId="0" applyNumberFormat="1" applyFont="1" applyAlignment="1">
      <alignment horizontal="left" vertical="center"/>
    </xf>
    <xf numFmtId="0" fontId="9" fillId="0" borderId="0" xfId="0" applyFont="1"/>
    <xf numFmtId="165" fontId="9" fillId="0" borderId="0" xfId="0" applyNumberFormat="1" applyFont="1"/>
    <xf numFmtId="166" fontId="3" fillId="0" borderId="0" xfId="0" applyNumberFormat="1" applyFont="1"/>
    <xf numFmtId="165" fontId="6" fillId="0" borderId="0" xfId="0" applyNumberFormat="1" applyFont="1"/>
    <xf numFmtId="0" fontId="17" fillId="0" borderId="0" xfId="0" applyFont="1"/>
    <xf numFmtId="166" fontId="4" fillId="0" borderId="0" xfId="0" applyNumberFormat="1" applyFont="1"/>
    <xf numFmtId="165" fontId="4" fillId="0" borderId="14" xfId="0" applyNumberFormat="1" applyFont="1" applyBorder="1"/>
    <xf numFmtId="3" fontId="4" fillId="12" borderId="37" xfId="0" applyNumberFormat="1" applyFont="1" applyFill="1" applyBorder="1" applyAlignment="1">
      <alignment horizontal="right"/>
    </xf>
    <xf numFmtId="0" fontId="15" fillId="0" borderId="0" xfId="0" applyFont="1"/>
    <xf numFmtId="0" fontId="3" fillId="0" borderId="0" xfId="0" applyFont="1" applyAlignment="1">
      <alignment vertical="center"/>
    </xf>
    <xf numFmtId="0" fontId="4" fillId="0" borderId="0" xfId="0" applyFont="1" applyAlignment="1">
      <alignment horizontal="center" vertical="top" wrapText="1"/>
    </xf>
    <xf numFmtId="0" fontId="4" fillId="0" borderId="0" xfId="0" applyFont="1" applyAlignment="1">
      <alignment vertical="top" wrapText="1"/>
    </xf>
    <xf numFmtId="0" fontId="15" fillId="0" borderId="0" xfId="0" applyFont="1" applyAlignment="1">
      <alignment horizontal="left" vertical="top"/>
    </xf>
    <xf numFmtId="9" fontId="3" fillId="0" borderId="0" xfId="0" applyNumberFormat="1" applyFont="1" applyAlignment="1">
      <alignment horizontal="center"/>
    </xf>
    <xf numFmtId="0" fontId="15" fillId="0" borderId="0" xfId="0" applyFont="1" applyAlignment="1">
      <alignment horizontal="left"/>
    </xf>
    <xf numFmtId="0" fontId="0" fillId="0" borderId="0" xfId="0" applyAlignment="1">
      <alignment vertical="top" wrapText="1"/>
    </xf>
    <xf numFmtId="0" fontId="0" fillId="0" borderId="0" xfId="0" applyAlignment="1">
      <alignment horizontal="left" vertical="top" wrapText="1"/>
    </xf>
    <xf numFmtId="0" fontId="4" fillId="17" borderId="19" xfId="0" applyFont="1" applyFill="1" applyBorder="1" applyAlignment="1">
      <alignment horizontal="center" vertical="top" wrapText="1"/>
    </xf>
    <xf numFmtId="0" fontId="28" fillId="0" borderId="0" xfId="0" applyFont="1" applyAlignment="1">
      <alignment vertical="top" wrapText="1"/>
    </xf>
    <xf numFmtId="0" fontId="28" fillId="0" borderId="0" xfId="0" applyFont="1" applyAlignment="1">
      <alignment horizontal="center" vertical="top" wrapText="1"/>
    </xf>
    <xf numFmtId="0" fontId="20" fillId="0" borderId="0" xfId="0" applyFont="1" applyAlignment="1">
      <alignment vertical="top" wrapText="1"/>
    </xf>
    <xf numFmtId="0" fontId="12" fillId="0" borderId="0" xfId="0" applyFont="1" applyAlignment="1">
      <alignment horizontal="left"/>
    </xf>
    <xf numFmtId="0" fontId="3" fillId="0" borderId="55" xfId="0" applyFont="1" applyBorder="1"/>
    <xf numFmtId="0" fontId="15" fillId="0" borderId="55" xfId="0" applyFont="1" applyBorder="1"/>
    <xf numFmtId="0" fontId="3" fillId="0" borderId="55" xfId="0" applyFont="1" applyBorder="1" applyAlignment="1">
      <alignment horizontal="center"/>
    </xf>
    <xf numFmtId="0" fontId="3" fillId="0" borderId="10" xfId="0" applyFont="1" applyBorder="1" applyAlignment="1">
      <alignment vertical="center"/>
    </xf>
    <xf numFmtId="0" fontId="3" fillId="2" borderId="11" xfId="0" applyFont="1" applyFill="1" applyBorder="1" applyAlignment="1" applyProtection="1">
      <alignment horizontal="center" vertical="center"/>
      <protection locked="0"/>
    </xf>
    <xf numFmtId="0" fontId="4" fillId="9" borderId="7" xfId="0" applyFont="1" applyFill="1" applyBorder="1" applyAlignment="1">
      <alignment horizontal="left"/>
    </xf>
    <xf numFmtId="0" fontId="3" fillId="9" borderId="8" xfId="0" applyFont="1" applyFill="1" applyBorder="1" applyAlignment="1">
      <alignment horizontal="center"/>
    </xf>
    <xf numFmtId="0" fontId="3" fillId="9" borderId="9" xfId="0" applyFont="1" applyFill="1" applyBorder="1" applyAlignment="1">
      <alignment horizontal="center"/>
    </xf>
    <xf numFmtId="0" fontId="4" fillId="0" borderId="56" xfId="0" applyFont="1" applyBorder="1" applyAlignment="1">
      <alignment vertical="center"/>
    </xf>
    <xf numFmtId="0" fontId="3" fillId="0" borderId="57" xfId="0" applyFont="1" applyBorder="1"/>
    <xf numFmtId="0" fontId="3" fillId="0" borderId="58" xfId="0" applyFont="1" applyBorder="1"/>
    <xf numFmtId="0" fontId="3" fillId="0" borderId="59" xfId="0" applyFont="1" applyBorder="1"/>
    <xf numFmtId="0" fontId="3" fillId="0" borderId="60" xfId="0" applyFont="1" applyBorder="1" applyAlignment="1">
      <alignment horizontal="center"/>
    </xf>
    <xf numFmtId="0" fontId="3" fillId="0" borderId="61" xfId="0" applyFont="1" applyBorder="1"/>
    <xf numFmtId="0" fontId="3" fillId="0" borderId="62" xfId="0" applyFont="1" applyBorder="1" applyAlignment="1">
      <alignment horizontal="center"/>
    </xf>
    <xf numFmtId="0" fontId="3" fillId="0" borderId="63" xfId="0" applyFont="1" applyBorder="1" applyAlignment="1">
      <alignment horizontal="center"/>
    </xf>
    <xf numFmtId="0" fontId="3" fillId="0" borderId="0" xfId="0" applyFont="1" applyAlignment="1" applyProtection="1">
      <alignment horizontal="center" vertical="center"/>
      <protection locked="0"/>
    </xf>
    <xf numFmtId="0" fontId="14" fillId="0" borderId="0" xfId="0" applyFont="1"/>
    <xf numFmtId="0" fontId="4" fillId="0" borderId="16" xfId="0" applyFont="1" applyBorder="1" applyAlignment="1">
      <alignment horizontal="center" wrapText="1"/>
    </xf>
    <xf numFmtId="0" fontId="4" fillId="0" borderId="37" xfId="0" applyFont="1" applyBorder="1" applyAlignment="1">
      <alignment horizontal="center" wrapText="1"/>
    </xf>
    <xf numFmtId="0" fontId="3" fillId="2" borderId="18" xfId="0" applyFont="1" applyFill="1" applyBorder="1" applyAlignment="1" applyProtection="1">
      <alignment horizontal="center"/>
      <protection locked="0"/>
    </xf>
    <xf numFmtId="169" fontId="4" fillId="0" borderId="0" xfId="0" applyNumberFormat="1" applyFont="1" applyAlignment="1">
      <alignment horizontal="center"/>
    </xf>
    <xf numFmtId="0" fontId="3" fillId="0" borderId="0" xfId="0" applyFont="1" applyAlignment="1" applyProtection="1">
      <alignment horizontal="center"/>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center" wrapText="1"/>
    </xf>
    <xf numFmtId="0" fontId="3" fillId="0" borderId="0" xfId="0" applyFont="1" applyAlignment="1" applyProtection="1">
      <alignment vertical="top" wrapText="1"/>
      <protection locked="0"/>
    </xf>
    <xf numFmtId="0" fontId="14" fillId="0" borderId="0" xfId="0" applyFont="1" applyAlignment="1">
      <alignment horizontal="left"/>
    </xf>
    <xf numFmtId="0" fontId="3" fillId="0" borderId="0" xfId="0" applyFont="1" applyAlignment="1">
      <alignment horizontal="left" vertical="top" wrapText="1"/>
    </xf>
    <xf numFmtId="0" fontId="18" fillId="0" borderId="55" xfId="0" applyFont="1" applyBorder="1" applyAlignment="1" applyProtection="1">
      <alignment horizontal="left" vertical="top" wrapText="1"/>
      <protection locked="0"/>
    </xf>
    <xf numFmtId="0" fontId="3" fillId="0" borderId="55" xfId="0" applyFont="1" applyBorder="1" applyAlignment="1" applyProtection="1">
      <alignment horizontal="left" vertical="top" wrapText="1"/>
      <protection locked="0"/>
    </xf>
    <xf numFmtId="0" fontId="4" fillId="0" borderId="55" xfId="0" applyFont="1" applyBorder="1" applyAlignment="1">
      <alignment horizontal="center"/>
    </xf>
    <xf numFmtId="165" fontId="4" fillId="0" borderId="55" xfId="0" applyNumberFormat="1" applyFont="1" applyBorder="1" applyAlignment="1">
      <alignment horizontal="center" vertical="center"/>
    </xf>
    <xf numFmtId="0" fontId="3" fillId="0" borderId="55" xfId="0" applyFont="1" applyBorder="1" applyAlignment="1">
      <alignment horizontal="left"/>
    </xf>
    <xf numFmtId="165" fontId="4" fillId="0" borderId="0" xfId="0" applyNumberFormat="1" applyFont="1" applyAlignment="1">
      <alignment horizontal="center" vertical="center"/>
    </xf>
    <xf numFmtId="0" fontId="4" fillId="0" borderId="55" xfId="0" applyFont="1" applyBorder="1"/>
    <xf numFmtId="0" fontId="4" fillId="0" borderId="10" xfId="0" applyFont="1" applyBorder="1" applyAlignment="1">
      <alignment horizontal="center"/>
    </xf>
    <xf numFmtId="0" fontId="4" fillId="0" borderId="25" xfId="0" applyFont="1" applyBorder="1" applyAlignment="1">
      <alignment horizontal="center" vertical="center" wrapText="1"/>
    </xf>
    <xf numFmtId="0" fontId="4" fillId="0" borderId="27" xfId="0" applyFont="1" applyBorder="1" applyAlignment="1">
      <alignment horizontal="center" wrapText="1"/>
    </xf>
    <xf numFmtId="0" fontId="3" fillId="0" borderId="0" xfId="0" applyFont="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0" fontId="3" fillId="0" borderId="0" xfId="0" applyFont="1" applyAlignment="1">
      <alignment horizontal="center" vertical="top" wrapText="1"/>
    </xf>
    <xf numFmtId="0" fontId="15" fillId="0" borderId="55" xfId="0" applyFont="1" applyBorder="1" applyAlignment="1">
      <alignment vertical="top"/>
    </xf>
    <xf numFmtId="0" fontId="3" fillId="0" borderId="55" xfId="0" applyFont="1" applyBorder="1" applyAlignment="1">
      <alignment vertical="top"/>
    </xf>
    <xf numFmtId="0" fontId="9" fillId="0" borderId="0" xfId="0" applyFont="1" applyAlignment="1">
      <alignment vertical="center"/>
    </xf>
    <xf numFmtId="0" fontId="31" fillId="0" borderId="0" xfId="0" applyFont="1" applyAlignment="1">
      <alignment horizontal="center"/>
    </xf>
    <xf numFmtId="0" fontId="3" fillId="2" borderId="20"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15" fillId="0" borderId="55" xfId="0" applyFont="1" applyBorder="1" applyAlignment="1">
      <alignment vertical="center"/>
    </xf>
    <xf numFmtId="0" fontId="3" fillId="0" borderId="0" xfId="0" applyFont="1" applyAlignment="1">
      <alignment vertical="top"/>
    </xf>
    <xf numFmtId="0" fontId="4" fillId="0" borderId="10" xfId="0" applyFont="1" applyBorder="1" applyAlignment="1">
      <alignment horizontal="center" vertical="center" wrapText="1"/>
    </xf>
    <xf numFmtId="0" fontId="3" fillId="8" borderId="26" xfId="0" applyFont="1" applyFill="1" applyBorder="1" applyAlignment="1" applyProtection="1">
      <alignment vertical="top" wrapText="1"/>
      <protection locked="0"/>
    </xf>
    <xf numFmtId="0" fontId="3" fillId="8" borderId="1" xfId="0" applyFont="1" applyFill="1" applyBorder="1" applyAlignment="1" applyProtection="1">
      <alignment vertical="top" wrapText="1"/>
      <protection locked="0"/>
    </xf>
    <xf numFmtId="0" fontId="3" fillId="8" borderId="2" xfId="0" applyFont="1" applyFill="1" applyBorder="1" applyAlignment="1" applyProtection="1">
      <alignment vertical="top" wrapText="1"/>
      <protection locked="0"/>
    </xf>
    <xf numFmtId="0" fontId="3" fillId="8" borderId="27" xfId="0" applyFont="1" applyFill="1" applyBorder="1" applyAlignment="1" applyProtection="1">
      <alignment vertical="top" wrapText="1"/>
      <protection locked="0"/>
    </xf>
    <xf numFmtId="0" fontId="3" fillId="8" borderId="0" xfId="0" applyFont="1" applyFill="1" applyAlignment="1" applyProtection="1">
      <alignment vertical="top" wrapText="1"/>
      <protection locked="0"/>
    </xf>
    <xf numFmtId="0" fontId="3" fillId="8" borderId="3" xfId="0" applyFont="1" applyFill="1" applyBorder="1" applyAlignment="1" applyProtection="1">
      <alignment vertical="top" wrapText="1"/>
      <protection locked="0"/>
    </xf>
    <xf numFmtId="0" fontId="3" fillId="8" borderId="12" xfId="0" applyFont="1" applyFill="1" applyBorder="1" applyAlignment="1" applyProtection="1">
      <alignment vertical="top" wrapText="1"/>
      <protection locked="0"/>
    </xf>
    <xf numFmtId="0" fontId="3" fillId="8" borderId="5" xfId="0" applyFont="1" applyFill="1" applyBorder="1" applyAlignment="1" applyProtection="1">
      <alignment vertical="top" wrapText="1"/>
      <protection locked="0"/>
    </xf>
    <xf numFmtId="0" fontId="3" fillId="8" borderId="6" xfId="0" applyFont="1" applyFill="1" applyBorder="1" applyAlignment="1" applyProtection="1">
      <alignment vertical="top" wrapText="1"/>
      <protection locked="0"/>
    </xf>
    <xf numFmtId="0" fontId="3" fillId="2" borderId="19"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4" fillId="0" borderId="24" xfId="0" applyFont="1" applyBorder="1" applyAlignment="1">
      <alignment vertical="top" wrapText="1"/>
    </xf>
    <xf numFmtId="0" fontId="15" fillId="0" borderId="55" xfId="0" applyFont="1" applyBorder="1" applyAlignment="1">
      <alignment horizontal="left"/>
    </xf>
    <xf numFmtId="2" fontId="3" fillId="0" borderId="55" xfId="0" applyNumberFormat="1" applyFont="1" applyBorder="1"/>
    <xf numFmtId="165" fontId="3" fillId="0" borderId="55" xfId="0" applyNumberFormat="1" applyFont="1" applyBorder="1" applyAlignment="1">
      <alignment horizont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xf>
    <xf numFmtId="0" fontId="33" fillId="0" borderId="0" xfId="0" applyFont="1" applyAlignment="1">
      <alignment wrapText="1"/>
    </xf>
    <xf numFmtId="0" fontId="3" fillId="0" borderId="72" xfId="0" applyFont="1" applyBorder="1"/>
    <xf numFmtId="0" fontId="15" fillId="0" borderId="72" xfId="0" applyFont="1" applyBorder="1"/>
    <xf numFmtId="0" fontId="14" fillId="0" borderId="72" xfId="0" applyFont="1" applyBorder="1"/>
    <xf numFmtId="165" fontId="3" fillId="0" borderId="72" xfId="0" applyNumberFormat="1" applyFont="1" applyBorder="1"/>
    <xf numFmtId="0" fontId="3" fillId="0" borderId="72" xfId="0" applyFont="1" applyBorder="1" applyAlignment="1" applyProtection="1">
      <alignment horizontal="left" vertical="top" wrapText="1"/>
      <protection locked="0"/>
    </xf>
    <xf numFmtId="0" fontId="14" fillId="0" borderId="0" xfId="0" applyFont="1" applyAlignment="1">
      <alignment vertical="center"/>
    </xf>
    <xf numFmtId="0" fontId="34" fillId="0" borderId="0" xfId="0" applyFont="1" applyAlignment="1">
      <alignment vertical="center"/>
    </xf>
    <xf numFmtId="0" fontId="3" fillId="0" borderId="0" xfId="0" applyFont="1" applyAlignment="1">
      <alignment vertical="center" wrapText="1"/>
    </xf>
    <xf numFmtId="0" fontId="3" fillId="2" borderId="37" xfId="0" applyFont="1" applyFill="1" applyBorder="1" applyAlignment="1" applyProtection="1">
      <alignment horizontal="center" vertical="center" wrapText="1"/>
      <protection locked="0"/>
    </xf>
    <xf numFmtId="0" fontId="3" fillId="0" borderId="0" xfId="0" applyFont="1" applyAlignment="1" applyProtection="1">
      <alignment horizontal="left" vertical="top"/>
      <protection locked="0"/>
    </xf>
    <xf numFmtId="0" fontId="12" fillId="0" borderId="0" xfId="0" applyFont="1" applyAlignment="1">
      <alignment wrapText="1"/>
    </xf>
    <xf numFmtId="0" fontId="10" fillId="0" borderId="0" xfId="0" applyFont="1" applyAlignment="1">
      <alignment vertical="center" wrapText="1"/>
    </xf>
    <xf numFmtId="0" fontId="3" fillId="2" borderId="35" xfId="0" applyFont="1" applyFill="1" applyBorder="1" applyAlignment="1" applyProtection="1">
      <alignment horizontal="center" vertical="center" wrapText="1"/>
      <protection locked="0"/>
    </xf>
    <xf numFmtId="0" fontId="4" fillId="0" borderId="0" xfId="0" applyFont="1" applyAlignment="1">
      <alignment horizontal="center" vertical="center"/>
    </xf>
    <xf numFmtId="165" fontId="4" fillId="0" borderId="35" xfId="0" applyNumberFormat="1" applyFont="1" applyBorder="1" applyAlignment="1">
      <alignment horizontal="center" vertical="center"/>
    </xf>
    <xf numFmtId="0" fontId="3" fillId="0" borderId="0" xfId="0" applyFont="1" applyAlignment="1" applyProtection="1">
      <alignment vertical="top"/>
      <protection locked="0"/>
    </xf>
    <xf numFmtId="0" fontId="3" fillId="0" borderId="0" xfId="0" applyFont="1" applyAlignment="1">
      <alignment horizontal="left" vertical="top"/>
    </xf>
    <xf numFmtId="0" fontId="15" fillId="0" borderId="72" xfId="0" applyFont="1" applyBorder="1" applyAlignment="1">
      <alignment vertical="center"/>
    </xf>
    <xf numFmtId="0" fontId="4" fillId="0" borderId="72" xfId="0" applyFont="1" applyBorder="1" applyAlignment="1">
      <alignment vertical="center"/>
    </xf>
    <xf numFmtId="0" fontId="3" fillId="0" borderId="72" xfId="0" applyFont="1" applyBorder="1" applyAlignment="1">
      <alignment horizontal="center"/>
    </xf>
    <xf numFmtId="0" fontId="4" fillId="0" borderId="73" xfId="0" applyFont="1" applyBorder="1" applyAlignment="1">
      <alignment horizontal="center" wrapText="1"/>
    </xf>
    <xf numFmtId="0" fontId="4" fillId="0" borderId="11" xfId="0" applyFont="1" applyBorder="1" applyAlignment="1">
      <alignment horizontal="center" wrapText="1"/>
    </xf>
    <xf numFmtId="0" fontId="4" fillId="0" borderId="21" xfId="0" applyFont="1" applyBorder="1" applyAlignment="1">
      <alignment horizontal="right" wrapText="1"/>
    </xf>
    <xf numFmtId="164" fontId="4" fillId="5" borderId="29" xfId="1" applyFont="1" applyFill="1" applyBorder="1" applyAlignment="1" applyProtection="1">
      <alignment horizontal="center" vertical="center" wrapText="1"/>
    </xf>
    <xf numFmtId="0" fontId="3" fillId="0" borderId="41" xfId="0" applyFont="1" applyBorder="1" applyAlignment="1">
      <alignment horizontal="center" vertical="center" wrapText="1"/>
    </xf>
    <xf numFmtId="0" fontId="3" fillId="0" borderId="45" xfId="0" applyFont="1" applyBorder="1" applyAlignment="1">
      <alignment horizontal="center" vertical="center" wrapText="1"/>
    </xf>
    <xf numFmtId="166" fontId="3" fillId="4" borderId="21" xfId="0" applyNumberFormat="1" applyFont="1" applyFill="1" applyBorder="1" applyAlignment="1">
      <alignment horizontal="center"/>
    </xf>
    <xf numFmtId="0" fontId="3" fillId="3" borderId="6" xfId="0" applyFont="1" applyFill="1" applyBorder="1" applyAlignment="1" applyProtection="1">
      <alignment horizontal="center"/>
      <protection locked="0"/>
    </xf>
    <xf numFmtId="0" fontId="3" fillId="0" borderId="0" xfId="0" applyFont="1" applyAlignment="1">
      <alignment horizontal="center" vertical="center"/>
    </xf>
    <xf numFmtId="0" fontId="4" fillId="0" borderId="13" xfId="0" applyFont="1" applyBorder="1" applyAlignment="1">
      <alignment horizontal="center" vertical="top" wrapText="1"/>
    </xf>
    <xf numFmtId="0" fontId="4" fillId="4" borderId="74" xfId="0" applyFont="1" applyFill="1" applyBorder="1" applyAlignment="1">
      <alignment vertical="top" wrapText="1"/>
    </xf>
    <xf numFmtId="0" fontId="3" fillId="2" borderId="41" xfId="0" applyFont="1" applyFill="1" applyBorder="1" applyAlignment="1" applyProtection="1">
      <alignment horizontal="center"/>
      <protection locked="0"/>
    </xf>
    <xf numFmtId="0" fontId="4" fillId="0" borderId="1" xfId="0" applyFont="1" applyBorder="1" applyAlignment="1">
      <alignment vertical="top" wrapText="1"/>
    </xf>
    <xf numFmtId="0" fontId="3" fillId="0" borderId="72" xfId="0" applyFont="1" applyBorder="1" applyAlignment="1">
      <alignment vertical="top" wrapText="1"/>
    </xf>
    <xf numFmtId="0" fontId="18" fillId="0" borderId="72" xfId="0" applyFont="1" applyBorder="1"/>
    <xf numFmtId="0" fontId="4" fillId="14" borderId="17" xfId="0" applyFont="1" applyFill="1" applyBorder="1"/>
    <xf numFmtId="2" fontId="4" fillId="5" borderId="17" xfId="0" applyNumberFormat="1" applyFont="1" applyFill="1" applyBorder="1" applyAlignment="1">
      <alignment horizontal="center"/>
    </xf>
    <xf numFmtId="0" fontId="5" fillId="0" borderId="0" xfId="0" applyFont="1" applyAlignment="1">
      <alignment horizontal="left"/>
    </xf>
    <xf numFmtId="2" fontId="3" fillId="20" borderId="4" xfId="0" applyNumberFormat="1" applyFont="1" applyFill="1" applyBorder="1"/>
    <xf numFmtId="2" fontId="3" fillId="5" borderId="4" xfId="0" applyNumberFormat="1" applyFont="1" applyFill="1" applyBorder="1"/>
    <xf numFmtId="2" fontId="3" fillId="8" borderId="4" xfId="0" applyNumberFormat="1" applyFont="1" applyFill="1" applyBorder="1"/>
    <xf numFmtId="0" fontId="12" fillId="0" borderId="0" xfId="0" applyFont="1" applyAlignment="1">
      <alignment horizontal="center"/>
    </xf>
    <xf numFmtId="0" fontId="10" fillId="0" borderId="0" xfId="0" applyFont="1" applyAlignment="1">
      <alignment horizontal="left" wrapText="1"/>
    </xf>
    <xf numFmtId="0" fontId="3" fillId="0" borderId="0" xfId="0" applyFont="1" applyAlignment="1">
      <alignment horizontal="left" wrapText="1"/>
    </xf>
    <xf numFmtId="165" fontId="3" fillId="0" borderId="0" xfId="0" applyNumberFormat="1" applyFont="1" applyAlignment="1">
      <alignment horizontal="left" wrapText="1"/>
    </xf>
    <xf numFmtId="0" fontId="3" fillId="20" borderId="18" xfId="0" applyFont="1" applyFill="1" applyBorder="1"/>
    <xf numFmtId="0" fontId="3" fillId="5" borderId="18" xfId="0" applyFont="1" applyFill="1" applyBorder="1"/>
    <xf numFmtId="0" fontId="3" fillId="20" borderId="19" xfId="0" applyFont="1" applyFill="1" applyBorder="1"/>
    <xf numFmtId="0" fontId="3" fillId="20" borderId="20" xfId="0" applyFont="1" applyFill="1" applyBorder="1"/>
    <xf numFmtId="0" fontId="3" fillId="0" borderId="5" xfId="0" applyFont="1" applyBorder="1"/>
    <xf numFmtId="0" fontId="3" fillId="0" borderId="6" xfId="0" applyFont="1" applyBorder="1"/>
    <xf numFmtId="0" fontId="3" fillId="0" borderId="75" xfId="0" applyFont="1" applyBorder="1"/>
    <xf numFmtId="165" fontId="4" fillId="5" borderId="75" xfId="0" applyNumberFormat="1" applyFont="1" applyFill="1" applyBorder="1"/>
    <xf numFmtId="0" fontId="4" fillId="14" borderId="12" xfId="0" applyFont="1" applyFill="1" applyBorder="1" applyAlignment="1">
      <alignment horizontal="center"/>
    </xf>
    <xf numFmtId="0" fontId="3" fillId="14" borderId="5" xfId="0" applyFont="1" applyFill="1" applyBorder="1"/>
    <xf numFmtId="0" fontId="3" fillId="14" borderId="75" xfId="0" applyFont="1" applyFill="1" applyBorder="1"/>
    <xf numFmtId="165" fontId="4" fillId="0" borderId="10" xfId="0" applyNumberFormat="1" applyFont="1" applyBorder="1" applyAlignment="1">
      <alignment horizontal="left"/>
    </xf>
    <xf numFmtId="165" fontId="4" fillId="5" borderId="11" xfId="0" applyNumberFormat="1" applyFont="1" applyFill="1" applyBorder="1"/>
    <xf numFmtId="165" fontId="4" fillId="0" borderId="17" xfId="0" applyNumberFormat="1" applyFont="1" applyBorder="1" applyAlignment="1">
      <alignment horizontal="left"/>
    </xf>
    <xf numFmtId="165" fontId="4" fillId="5" borderId="17" xfId="0" applyNumberFormat="1" applyFont="1" applyFill="1" applyBorder="1" applyAlignment="1">
      <alignment wrapText="1"/>
    </xf>
    <xf numFmtId="165" fontId="4" fillId="0" borderId="12" xfId="0" applyNumberFormat="1" applyFont="1" applyBorder="1" applyAlignment="1">
      <alignment horizontal="left"/>
    </xf>
    <xf numFmtId="165" fontId="4" fillId="5" borderId="17" xfId="0" applyNumberFormat="1" applyFont="1" applyFill="1" applyBorder="1"/>
    <xf numFmtId="0" fontId="3" fillId="8" borderId="4" xfId="0" applyFont="1" applyFill="1" applyBorder="1"/>
    <xf numFmtId="0" fontId="6" fillId="0" borderId="0" xfId="0" applyFont="1"/>
    <xf numFmtId="0" fontId="4" fillId="0" borderId="14" xfId="0" applyFont="1" applyBorder="1" applyAlignment="1">
      <alignment horizontal="center" vertical="center" wrapText="1"/>
    </xf>
    <xf numFmtId="0" fontId="3" fillId="20" borderId="19" xfId="0" applyFont="1" applyFill="1" applyBorder="1" applyAlignment="1">
      <alignment horizontal="center"/>
    </xf>
    <xf numFmtId="0" fontId="35" fillId="0" borderId="0" xfId="0" applyFont="1" applyAlignment="1">
      <alignment horizontal="left" vertical="center"/>
    </xf>
    <xf numFmtId="0" fontId="4" fillId="0" borderId="15" xfId="0" applyFont="1" applyBorder="1" applyAlignment="1">
      <alignment horizontal="center"/>
    </xf>
    <xf numFmtId="0" fontId="4" fillId="0" borderId="14" xfId="0" applyFont="1" applyBorder="1" applyAlignment="1">
      <alignment horizontal="center" wrapText="1"/>
    </xf>
    <xf numFmtId="0" fontId="3" fillId="20" borderId="41" xfId="0" applyFont="1" applyFill="1" applyBorder="1" applyAlignment="1">
      <alignment horizontal="center" vertical="center" wrapText="1"/>
    </xf>
    <xf numFmtId="0" fontId="3" fillId="20" borderId="51" xfId="0" applyFont="1" applyFill="1" applyBorder="1" applyAlignment="1">
      <alignment horizontal="center" vertical="center" wrapText="1"/>
    </xf>
    <xf numFmtId="0" fontId="3" fillId="7" borderId="41" xfId="0" applyFont="1" applyFill="1" applyBorder="1" applyAlignment="1">
      <alignment horizontal="center"/>
    </xf>
    <xf numFmtId="0" fontId="3" fillId="7" borderId="45" xfId="0" applyFont="1" applyFill="1" applyBorder="1" applyAlignment="1">
      <alignment horizontal="center"/>
    </xf>
    <xf numFmtId="169" fontId="3" fillId="5" borderId="46" xfId="0" applyNumberFormat="1" applyFont="1" applyFill="1" applyBorder="1" applyAlignment="1">
      <alignment horizontal="center" vertical="top" wrapText="1"/>
    </xf>
    <xf numFmtId="0" fontId="4" fillId="0" borderId="0" xfId="0" applyFont="1" applyAlignment="1">
      <alignment horizontal="right"/>
    </xf>
    <xf numFmtId="0" fontId="34" fillId="0" borderId="0" xfId="0" applyFont="1"/>
    <xf numFmtId="0" fontId="4" fillId="0" borderId="15" xfId="0" applyFont="1" applyBorder="1" applyAlignment="1">
      <alignment horizontal="center" wrapText="1"/>
    </xf>
    <xf numFmtId="0" fontId="3" fillId="20" borderId="20" xfId="0" applyFont="1" applyFill="1" applyBorder="1" applyAlignment="1">
      <alignment horizontal="center"/>
    </xf>
    <xf numFmtId="165" fontId="4" fillId="5" borderId="29" xfId="0" applyNumberFormat="1" applyFont="1" applyFill="1" applyBorder="1" applyAlignment="1">
      <alignment horizontal="center"/>
    </xf>
    <xf numFmtId="165" fontId="3" fillId="0" borderId="0" xfId="0" applyNumberFormat="1" applyFont="1" applyAlignment="1">
      <alignment vertical="center"/>
    </xf>
    <xf numFmtId="165" fontId="3" fillId="0" borderId="0" xfId="0" applyNumberFormat="1" applyFont="1" applyAlignment="1">
      <alignment horizontal="center" vertical="center"/>
    </xf>
    <xf numFmtId="0" fontId="3" fillId="7" borderId="0" xfId="0" applyFont="1" applyFill="1"/>
    <xf numFmtId="165" fontId="3" fillId="0" borderId="0" xfId="0" applyNumberFormat="1" applyFont="1" applyAlignment="1">
      <alignment vertical="center" wrapText="1"/>
    </xf>
    <xf numFmtId="0" fontId="4" fillId="0" borderId="41" xfId="0" applyFont="1" applyBorder="1" applyAlignment="1">
      <alignment horizontal="left"/>
    </xf>
    <xf numFmtId="0" fontId="3" fillId="5" borderId="45" xfId="0" applyFont="1" applyFill="1" applyBorder="1" applyAlignment="1">
      <alignment horizontal="center" wrapText="1"/>
    </xf>
    <xf numFmtId="0" fontId="18" fillId="0" borderId="0" xfId="0" applyFont="1" applyAlignment="1">
      <alignment wrapText="1"/>
    </xf>
    <xf numFmtId="165" fontId="14" fillId="0" borderId="0" xfId="0" applyNumberFormat="1" applyFont="1" applyAlignment="1">
      <alignment wrapText="1"/>
    </xf>
    <xf numFmtId="165" fontId="18" fillId="0" borderId="0" xfId="0" applyNumberFormat="1" applyFont="1" applyAlignment="1">
      <alignment vertical="center" wrapText="1"/>
    </xf>
    <xf numFmtId="0" fontId="4" fillId="0" borderId="24" xfId="0" applyFont="1" applyBorder="1" applyAlignment="1">
      <alignment horizontal="left"/>
    </xf>
    <xf numFmtId="0" fontId="3" fillId="0" borderId="24" xfId="0" applyFont="1" applyBorder="1" applyAlignment="1">
      <alignment wrapText="1"/>
    </xf>
    <xf numFmtId="0" fontId="4" fillId="0" borderId="31" xfId="0" applyFont="1" applyBorder="1" applyAlignment="1">
      <alignment horizontal="center" wrapText="1"/>
    </xf>
    <xf numFmtId="0" fontId="4" fillId="0" borderId="33" xfId="0" applyFont="1" applyBorder="1" applyAlignment="1">
      <alignment horizontal="center"/>
    </xf>
    <xf numFmtId="165" fontId="4" fillId="0" borderId="35" xfId="0" applyNumberFormat="1" applyFont="1" applyBorder="1" applyAlignment="1">
      <alignment horizontal="center" vertical="center" wrapText="1"/>
    </xf>
    <xf numFmtId="0" fontId="3" fillId="20" borderId="10" xfId="0" applyFont="1" applyFill="1" applyBorder="1" applyAlignment="1">
      <alignment horizontal="left"/>
    </xf>
    <xf numFmtId="0" fontId="3" fillId="5" borderId="43" xfId="0" applyFont="1" applyFill="1" applyBorder="1"/>
    <xf numFmtId="0" fontId="3" fillId="5" borderId="50" xfId="0" applyFont="1" applyFill="1" applyBorder="1"/>
    <xf numFmtId="0" fontId="3" fillId="5" borderId="22" xfId="0" applyFont="1" applyFill="1" applyBorder="1"/>
    <xf numFmtId="0" fontId="4" fillId="0" borderId="23" xfId="0" applyFont="1" applyBorder="1" applyAlignment="1">
      <alignment horizontal="left"/>
    </xf>
    <xf numFmtId="0" fontId="3" fillId="5" borderId="21" xfId="0" applyFont="1" applyFill="1" applyBorder="1"/>
    <xf numFmtId="0" fontId="3" fillId="5" borderId="20" xfId="0" applyFont="1" applyFill="1" applyBorder="1"/>
    <xf numFmtId="165" fontId="4" fillId="5" borderId="45" xfId="0" applyNumberFormat="1" applyFont="1" applyFill="1" applyBorder="1" applyAlignment="1">
      <alignment vertical="center"/>
    </xf>
    <xf numFmtId="165" fontId="4" fillId="0" borderId="0" xfId="0" applyNumberFormat="1" applyFont="1" applyAlignment="1">
      <alignment vertical="center"/>
    </xf>
    <xf numFmtId="165" fontId="14" fillId="0" borderId="0" xfId="0" applyNumberFormat="1" applyFont="1" applyAlignment="1">
      <alignment horizontal="left" vertical="center"/>
    </xf>
    <xf numFmtId="165" fontId="14" fillId="0" borderId="0" xfId="0" applyNumberFormat="1" applyFont="1" applyAlignment="1">
      <alignment horizontal="left"/>
    </xf>
    <xf numFmtId="165" fontId="14" fillId="0" borderId="0" xfId="0" applyNumberFormat="1" applyFont="1" applyAlignment="1">
      <alignment vertical="center" wrapText="1"/>
    </xf>
    <xf numFmtId="165" fontId="18" fillId="0" borderId="0" xfId="0" applyNumberFormat="1" applyFont="1" applyAlignment="1">
      <alignment wrapText="1"/>
    </xf>
    <xf numFmtId="0" fontId="18" fillId="0" borderId="0" xfId="0" applyFont="1" applyAlignment="1">
      <alignment horizontal="left"/>
    </xf>
    <xf numFmtId="165" fontId="18" fillId="0" borderId="0" xfId="0" applyNumberFormat="1" applyFont="1" applyAlignment="1">
      <alignment horizontal="left" vertical="center"/>
    </xf>
    <xf numFmtId="165" fontId="18" fillId="0" borderId="0" xfId="0" applyNumberFormat="1" applyFont="1" applyAlignment="1">
      <alignment horizontal="left"/>
    </xf>
    <xf numFmtId="0" fontId="18" fillId="0" borderId="0" xfId="0" applyFont="1" applyAlignment="1">
      <alignment horizontal="left" wrapText="1"/>
    </xf>
    <xf numFmtId="0" fontId="3" fillId="0" borderId="5" xfId="0" applyFont="1" applyBorder="1" applyAlignment="1">
      <alignment wrapText="1"/>
    </xf>
    <xf numFmtId="0" fontId="4" fillId="0" borderId="32" xfId="0" applyFont="1" applyBorder="1" applyAlignment="1">
      <alignment horizontal="center" wrapText="1"/>
    </xf>
    <xf numFmtId="165" fontId="4" fillId="0" borderId="35" xfId="0" applyNumberFormat="1" applyFont="1" applyBorder="1" applyAlignment="1">
      <alignment horizontal="center" wrapText="1"/>
    </xf>
    <xf numFmtId="165" fontId="4" fillId="5" borderId="18" xfId="0" applyNumberFormat="1" applyFont="1" applyFill="1" applyBorder="1" applyAlignment="1">
      <alignment vertical="center"/>
    </xf>
    <xf numFmtId="0" fontId="4" fillId="0" borderId="24" xfId="0" applyFont="1" applyBorder="1"/>
    <xf numFmtId="0" fontId="4" fillId="0" borderId="52" xfId="0" applyFont="1" applyBorder="1" applyAlignment="1">
      <alignment horizontal="center" vertical="center"/>
    </xf>
    <xf numFmtId="0" fontId="6" fillId="0" borderId="0" xfId="0" applyFont="1" applyAlignment="1">
      <alignment horizontal="left" vertical="center"/>
    </xf>
    <xf numFmtId="0" fontId="4" fillId="0" borderId="10" xfId="0" applyFont="1" applyBorder="1" applyAlignment="1">
      <alignment horizontal="left"/>
    </xf>
    <xf numFmtId="165" fontId="4" fillId="5" borderId="11" xfId="0" applyNumberFormat="1" applyFont="1" applyFill="1" applyBorder="1" applyAlignment="1">
      <alignment wrapText="1"/>
    </xf>
    <xf numFmtId="0" fontId="4" fillId="0" borderId="27" xfId="0" applyFont="1" applyBorder="1" applyAlignment="1">
      <alignment wrapText="1"/>
    </xf>
    <xf numFmtId="0" fontId="4" fillId="0" borderId="27" xfId="0" applyFont="1" applyBorder="1" applyAlignment="1">
      <alignment horizontal="left"/>
    </xf>
    <xf numFmtId="0" fontId="3" fillId="0" borderId="53" xfId="0" applyFont="1" applyBorder="1" applyAlignment="1">
      <alignment horizontal="left"/>
    </xf>
    <xf numFmtId="2" fontId="3" fillId="0" borderId="53" xfId="0" applyNumberFormat="1" applyFont="1" applyBorder="1"/>
    <xf numFmtId="0" fontId="3" fillId="0" borderId="0" xfId="0" applyFont="1" applyAlignment="1">
      <alignment horizontal="left" vertical="center"/>
    </xf>
    <xf numFmtId="0" fontId="3" fillId="0" borderId="47" xfId="0" applyFont="1" applyBorder="1"/>
    <xf numFmtId="165" fontId="4" fillId="5" borderId="23" xfId="0" applyNumberFormat="1" applyFont="1" applyFill="1" applyBorder="1" applyAlignment="1">
      <alignment horizontal="center" vertical="center"/>
    </xf>
    <xf numFmtId="165" fontId="4" fillId="0" borderId="11" xfId="0" applyNumberFormat="1" applyFont="1" applyBorder="1" applyAlignment="1">
      <alignment horizontal="center" vertical="center"/>
    </xf>
    <xf numFmtId="165" fontId="4" fillId="5" borderId="17" xfId="0" applyNumberFormat="1" applyFont="1" applyFill="1" applyBorder="1" applyAlignment="1">
      <alignment horizontal="center" vertical="center"/>
    </xf>
    <xf numFmtId="165" fontId="4" fillId="0" borderId="23" xfId="0" applyNumberFormat="1" applyFont="1" applyBorder="1" applyAlignment="1">
      <alignment horizontal="center" vertical="center"/>
    </xf>
    <xf numFmtId="0" fontId="4" fillId="0" borderId="10" xfId="0" applyFont="1" applyBorder="1"/>
    <xf numFmtId="2" fontId="3" fillId="20" borderId="11" xfId="0" applyNumberFormat="1" applyFont="1" applyFill="1" applyBorder="1" applyAlignment="1">
      <alignment horizontal="center"/>
    </xf>
    <xf numFmtId="0" fontId="4" fillId="0" borderId="14" xfId="0" applyFont="1" applyBorder="1"/>
    <xf numFmtId="2" fontId="3" fillId="5" borderId="37" xfId="0" applyNumberFormat="1" applyFont="1" applyFill="1" applyBorder="1" applyAlignment="1">
      <alignment horizontal="center"/>
    </xf>
    <xf numFmtId="2" fontId="3" fillId="0" borderId="24" xfId="0" applyNumberFormat="1" applyFont="1" applyBorder="1" applyAlignment="1">
      <alignment horizontal="center"/>
    </xf>
    <xf numFmtId="0" fontId="4" fillId="0" borderId="31" xfId="0" applyFont="1" applyBorder="1"/>
    <xf numFmtId="2" fontId="3" fillId="20" borderId="35" xfId="0" applyNumberFormat="1" applyFont="1" applyFill="1" applyBorder="1" applyAlignment="1">
      <alignment horizontal="center"/>
    </xf>
    <xf numFmtId="0" fontId="4" fillId="5" borderId="37" xfId="0" applyFont="1" applyFill="1" applyBorder="1" applyAlignment="1">
      <alignment horizontal="center"/>
    </xf>
    <xf numFmtId="0" fontId="10" fillId="0" borderId="0" xfId="0" applyFont="1"/>
    <xf numFmtId="0" fontId="3" fillId="0" borderId="0" xfId="0" applyFont="1" applyAlignment="1">
      <alignment horizontal="left" vertical="center" wrapText="1"/>
    </xf>
    <xf numFmtId="0" fontId="3" fillId="20" borderId="4" xfId="0" applyFont="1" applyFill="1" applyBorder="1" applyAlignment="1">
      <alignment horizontal="left"/>
    </xf>
    <xf numFmtId="0" fontId="5" fillId="0" borderId="0" xfId="0" applyFont="1" applyAlignment="1">
      <alignment vertical="center"/>
    </xf>
    <xf numFmtId="0" fontId="4" fillId="4" borderId="10" xfId="0" applyFont="1" applyFill="1" applyBorder="1" applyAlignment="1">
      <alignment horizontal="center" vertical="center" wrapText="1"/>
    </xf>
    <xf numFmtId="0" fontId="26" fillId="16" borderId="0" xfId="0" applyFont="1" applyFill="1" applyAlignment="1">
      <alignment vertical="top"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wrapText="1"/>
    </xf>
    <xf numFmtId="167" fontId="22" fillId="0" borderId="0" xfId="0" applyNumberFormat="1" applyFont="1" applyAlignment="1">
      <alignment vertical="center" wrapText="1"/>
    </xf>
    <xf numFmtId="167" fontId="26" fillId="16" borderId="0" xfId="0" applyNumberFormat="1" applyFont="1" applyFill="1" applyAlignment="1">
      <alignment horizontal="left" vertical="center" wrapText="1"/>
    </xf>
    <xf numFmtId="0" fontId="4" fillId="4" borderId="10" xfId="0" applyFont="1" applyFill="1" applyBorder="1" applyAlignment="1">
      <alignment vertical="top" wrapText="1"/>
    </xf>
    <xf numFmtId="0" fontId="3" fillId="2" borderId="11" xfId="0" applyFont="1" applyFill="1" applyBorder="1" applyAlignment="1" applyProtection="1">
      <alignment horizontal="center"/>
      <protection locked="0"/>
    </xf>
    <xf numFmtId="0" fontId="4" fillId="4" borderId="11" xfId="0" applyFont="1" applyFill="1" applyBorder="1" applyAlignment="1">
      <alignment horizontal="center" vertical="center" wrapText="1"/>
    </xf>
    <xf numFmtId="0" fontId="3" fillId="2" borderId="18" xfId="0" applyFont="1" applyFill="1" applyBorder="1" applyAlignment="1" applyProtection="1">
      <alignment horizontal="center" vertical="top" wrapText="1"/>
      <protection locked="0"/>
    </xf>
    <xf numFmtId="0" fontId="39" fillId="0" borderId="0" xfId="0" applyFont="1" applyAlignment="1">
      <alignment horizontal="center"/>
    </xf>
    <xf numFmtId="0" fontId="4" fillId="11" borderId="4" xfId="0" applyFont="1" applyFill="1" applyBorder="1" applyAlignment="1">
      <alignment vertical="center"/>
    </xf>
    <xf numFmtId="0" fontId="26" fillId="0" borderId="0" xfId="0" applyFont="1" applyAlignment="1">
      <alignment vertical="center" wrapText="1"/>
    </xf>
    <xf numFmtId="0" fontId="4" fillId="0" borderId="0" xfId="0" applyFont="1" applyAlignment="1">
      <alignment vertical="center"/>
    </xf>
    <xf numFmtId="0" fontId="22" fillId="0" borderId="0" xfId="0" applyFont="1" applyAlignment="1">
      <alignment vertical="center" wrapText="1"/>
    </xf>
    <xf numFmtId="168" fontId="22" fillId="0" borderId="0" xfId="0" applyNumberFormat="1" applyFont="1" applyAlignment="1">
      <alignment vertical="center" wrapText="1"/>
    </xf>
    <xf numFmtId="0" fontId="4" fillId="20" borderId="10" xfId="0" applyFont="1" applyFill="1" applyBorder="1" applyAlignment="1">
      <alignment horizontal="center" wrapText="1"/>
    </xf>
    <xf numFmtId="0" fontId="29" fillId="13" borderId="0" xfId="0" applyFont="1" applyFill="1" applyAlignment="1">
      <alignment horizontal="left" vertical="top" wrapText="1"/>
    </xf>
    <xf numFmtId="0" fontId="29" fillId="13" borderId="53" xfId="0" applyFont="1" applyFill="1" applyBorder="1" applyAlignment="1">
      <alignment horizontal="left" vertical="top" wrapText="1"/>
    </xf>
    <xf numFmtId="0" fontId="29" fillId="13" borderId="49" xfId="0" applyFont="1" applyFill="1" applyBorder="1" applyAlignment="1">
      <alignment horizontal="left" vertical="top" wrapText="1"/>
    </xf>
    <xf numFmtId="0" fontId="29" fillId="13" borderId="54" xfId="0" applyFont="1" applyFill="1" applyBorder="1" applyAlignment="1">
      <alignment horizontal="left" vertical="top" wrapText="1"/>
    </xf>
    <xf numFmtId="0" fontId="29" fillId="13" borderId="52" xfId="0" applyFont="1" applyFill="1" applyBorder="1" applyAlignment="1">
      <alignment horizontal="left" vertical="top" wrapText="1"/>
    </xf>
    <xf numFmtId="0" fontId="29" fillId="13" borderId="51" xfId="0" applyFont="1" applyFill="1" applyBorder="1" applyAlignment="1">
      <alignment horizontal="left" vertical="top" wrapText="1"/>
    </xf>
    <xf numFmtId="0" fontId="29" fillId="13" borderId="44" xfId="0" applyFont="1" applyFill="1" applyBorder="1" applyAlignment="1">
      <alignment horizontal="left" vertical="top"/>
    </xf>
    <xf numFmtId="0" fontId="29" fillId="13" borderId="50" xfId="0" applyFont="1" applyFill="1" applyBorder="1" applyAlignment="1">
      <alignment horizontal="left" vertical="top"/>
    </xf>
    <xf numFmtId="0" fontId="29" fillId="13" borderId="48" xfId="0" applyFont="1" applyFill="1" applyBorder="1" applyAlignment="1">
      <alignment vertical="center" wrapText="1"/>
    </xf>
    <xf numFmtId="0" fontId="4" fillId="0" borderId="18" xfId="0" applyFont="1" applyBorder="1" applyAlignment="1">
      <alignment horizontal="center" vertical="center" wrapText="1"/>
    </xf>
    <xf numFmtId="0" fontId="9" fillId="0" borderId="0" xfId="0" applyFont="1" applyAlignment="1">
      <alignment vertical="center" wrapText="1"/>
    </xf>
    <xf numFmtId="170" fontId="4" fillId="0" borderId="0" xfId="1" applyNumberFormat="1" applyFont="1" applyFill="1" applyBorder="1" applyAlignment="1" applyProtection="1">
      <alignment horizontal="center" vertical="top" wrapText="1"/>
      <protection locked="0"/>
    </xf>
    <xf numFmtId="170" fontId="3" fillId="0" borderId="0" xfId="1" applyNumberFormat="1" applyFont="1" applyFill="1" applyBorder="1" applyAlignment="1" applyProtection="1">
      <alignment horizontal="center"/>
    </xf>
    <xf numFmtId="0" fontId="4" fillId="0" borderId="34" xfId="0" applyFont="1" applyBorder="1" applyAlignment="1">
      <alignment horizontal="center" vertical="center" wrapText="1"/>
    </xf>
    <xf numFmtId="167" fontId="26" fillId="16" borderId="3" xfId="0" applyNumberFormat="1" applyFont="1" applyFill="1" applyBorder="1" applyAlignment="1">
      <alignment vertical="center" wrapText="1"/>
    </xf>
    <xf numFmtId="0" fontId="22" fillId="0" borderId="65" xfId="0" applyFont="1" applyBorder="1" applyAlignment="1">
      <alignment vertical="center" wrapText="1"/>
    </xf>
    <xf numFmtId="168" fontId="22" fillId="0" borderId="66" xfId="0" applyNumberFormat="1" applyFont="1" applyBorder="1" applyAlignment="1">
      <alignment vertical="center" wrapText="1"/>
    </xf>
    <xf numFmtId="168" fontId="22" fillId="0" borderId="67" xfId="0" applyNumberFormat="1" applyFont="1" applyBorder="1" applyAlignment="1">
      <alignment vertical="center" wrapText="1"/>
    </xf>
    <xf numFmtId="0" fontId="26" fillId="0" borderId="79" xfId="0" applyFont="1" applyBorder="1" applyAlignment="1">
      <alignment vertical="center" wrapText="1"/>
    </xf>
    <xf numFmtId="0" fontId="3" fillId="0" borderId="79" xfId="0" applyFont="1" applyBorder="1" applyAlignment="1">
      <alignment horizontal="center"/>
    </xf>
    <xf numFmtId="0" fontId="3" fillId="0" borderId="68" xfId="0" applyFont="1" applyBorder="1"/>
    <xf numFmtId="0" fontId="26" fillId="0" borderId="80" xfId="0" applyFont="1" applyBorder="1" applyAlignment="1">
      <alignment horizontal="left" vertical="center"/>
    </xf>
    <xf numFmtId="0" fontId="26" fillId="0" borderId="70" xfId="0" applyFont="1" applyBorder="1" applyAlignment="1">
      <alignment horizontal="left" vertical="center"/>
    </xf>
    <xf numFmtId="0" fontId="26" fillId="0" borderId="71" xfId="0" applyFont="1" applyBorder="1" applyAlignment="1">
      <alignment horizontal="left" vertical="center"/>
    </xf>
    <xf numFmtId="0" fontId="26" fillId="0" borderId="77" xfId="0" applyFont="1" applyBorder="1" applyAlignment="1">
      <alignment vertical="center" wrapText="1"/>
    </xf>
    <xf numFmtId="0" fontId="3" fillId="0" borderId="77" xfId="0" applyFont="1" applyBorder="1" applyAlignment="1">
      <alignment horizontal="center"/>
    </xf>
    <xf numFmtId="0" fontId="3" fillId="0" borderId="69" xfId="0" applyFont="1" applyBorder="1"/>
    <xf numFmtId="0" fontId="3" fillId="20" borderId="25" xfId="0" applyFont="1" applyFill="1" applyBorder="1" applyAlignment="1">
      <alignment horizontal="center"/>
    </xf>
    <xf numFmtId="165" fontId="3" fillId="5" borderId="76" xfId="0" applyNumberFormat="1" applyFont="1" applyFill="1" applyBorder="1" applyAlignment="1">
      <alignment horizontal="center" vertical="center"/>
    </xf>
    <xf numFmtId="165" fontId="3" fillId="5" borderId="6" xfId="0" applyNumberFormat="1" applyFont="1" applyFill="1" applyBorder="1" applyAlignment="1">
      <alignment horizontal="center" vertical="center"/>
    </xf>
    <xf numFmtId="0" fontId="4" fillId="0" borderId="73" xfId="0" applyFont="1" applyBorder="1" applyAlignment="1">
      <alignment horizontal="center" vertical="center"/>
    </xf>
    <xf numFmtId="0" fontId="4" fillId="0" borderId="36" xfId="0" applyFont="1" applyBorder="1" applyAlignment="1">
      <alignment horizontal="center" vertical="center"/>
    </xf>
    <xf numFmtId="0" fontId="4" fillId="20" borderId="17" xfId="0" applyFont="1" applyFill="1" applyBorder="1" applyAlignment="1">
      <alignment horizontal="center" wrapText="1"/>
    </xf>
    <xf numFmtId="0" fontId="4" fillId="0" borderId="12" xfId="0" applyFont="1" applyBorder="1" applyAlignment="1">
      <alignment horizontal="center" wrapText="1"/>
    </xf>
    <xf numFmtId="0" fontId="4" fillId="0" borderId="35" xfId="0" applyFont="1" applyBorder="1" applyAlignment="1">
      <alignment horizontal="center" vertical="center"/>
    </xf>
    <xf numFmtId="0" fontId="4" fillId="0" borderId="5" xfId="0" applyFont="1" applyBorder="1" applyAlignment="1">
      <alignment horizontal="center"/>
    </xf>
    <xf numFmtId="165" fontId="3" fillId="0" borderId="5" xfId="0" applyNumberFormat="1" applyFont="1" applyBorder="1" applyAlignment="1">
      <alignment horizontal="center"/>
    </xf>
    <xf numFmtId="165" fontId="4" fillId="5" borderId="20" xfId="0" applyNumberFormat="1" applyFont="1" applyFill="1" applyBorder="1" applyAlignment="1">
      <alignment horizontal="center"/>
    </xf>
    <xf numFmtId="169" fontId="4" fillId="0" borderId="23" xfId="0" applyNumberFormat="1" applyFont="1" applyBorder="1" applyAlignment="1">
      <alignment horizontal="center" vertical="top" wrapText="1"/>
    </xf>
    <xf numFmtId="0" fontId="3" fillId="7" borderId="21" xfId="0" applyFont="1" applyFill="1" applyBorder="1" applyAlignment="1">
      <alignment horizontal="center"/>
    </xf>
    <xf numFmtId="0" fontId="3" fillId="7" borderId="29" xfId="0" applyFont="1" applyFill="1" applyBorder="1" applyAlignment="1">
      <alignment horizontal="center"/>
    </xf>
    <xf numFmtId="169" fontId="3" fillId="5" borderId="23" xfId="0" applyNumberFormat="1" applyFont="1" applyFill="1" applyBorder="1" applyAlignment="1">
      <alignment horizontal="center" vertical="top" wrapText="1"/>
    </xf>
    <xf numFmtId="164" fontId="4" fillId="5" borderId="21" xfId="0" applyNumberFormat="1" applyFont="1" applyFill="1" applyBorder="1"/>
    <xf numFmtId="0" fontId="4" fillId="0" borderId="12" xfId="0" applyFont="1" applyBorder="1" applyAlignment="1">
      <alignment horizontal="left"/>
    </xf>
    <xf numFmtId="0" fontId="3" fillId="20" borderId="18" xfId="0" applyFont="1" applyFill="1" applyBorder="1" applyAlignment="1">
      <alignment horizontal="left"/>
    </xf>
    <xf numFmtId="0" fontId="4" fillId="0" borderId="6" xfId="0" applyFont="1" applyBorder="1"/>
    <xf numFmtId="0" fontId="4" fillId="5" borderId="23" xfId="0" applyFont="1" applyFill="1" applyBorder="1"/>
    <xf numFmtId="165" fontId="4" fillId="5" borderId="75" xfId="0" applyNumberFormat="1" applyFont="1" applyFill="1" applyBorder="1" applyAlignment="1">
      <alignment vertical="center"/>
    </xf>
    <xf numFmtId="0" fontId="4" fillId="0" borderId="0" xfId="0" applyFont="1" applyAlignment="1">
      <alignment horizontal="left" vertical="center" wrapText="1"/>
    </xf>
    <xf numFmtId="0" fontId="4" fillId="4" borderId="74" xfId="0" applyFont="1" applyFill="1" applyBorder="1" applyAlignment="1">
      <alignment horizontal="center" vertical="top" wrapText="1"/>
    </xf>
    <xf numFmtId="0" fontId="4" fillId="4" borderId="78" xfId="0" applyFont="1" applyFill="1" applyBorder="1" applyAlignment="1">
      <alignment horizontal="center" vertical="top" wrapText="1"/>
    </xf>
    <xf numFmtId="0" fontId="3" fillId="2" borderId="1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4" fillId="4" borderId="3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3" fillId="0" borderId="39" xfId="0" applyFont="1" applyBorder="1" applyAlignment="1">
      <alignment horizontal="center"/>
    </xf>
    <xf numFmtId="0" fontId="4" fillId="4" borderId="42" xfId="0" applyFont="1" applyFill="1" applyBorder="1" applyAlignment="1">
      <alignment horizontal="center" vertical="top" wrapText="1"/>
    </xf>
    <xf numFmtId="0" fontId="3" fillId="0" borderId="5" xfId="0" applyFont="1" applyBorder="1" applyAlignment="1">
      <alignment horizontal="center"/>
    </xf>
    <xf numFmtId="0" fontId="3" fillId="22" borderId="0" xfId="0" applyFont="1" applyFill="1" applyAlignment="1">
      <alignment wrapText="1"/>
    </xf>
    <xf numFmtId="0" fontId="43" fillId="22" borderId="0" xfId="0" applyFont="1" applyFill="1" applyAlignment="1">
      <alignment wrapText="1"/>
    </xf>
    <xf numFmtId="0" fontId="44" fillId="22" borderId="0" xfId="0" applyFont="1" applyFill="1" applyAlignment="1">
      <alignment wrapText="1"/>
    </xf>
    <xf numFmtId="0" fontId="2" fillId="0" borderId="81" xfId="0" applyFont="1" applyBorder="1" applyAlignment="1">
      <alignment horizontal="center" wrapText="1"/>
    </xf>
    <xf numFmtId="0" fontId="15" fillId="0" borderId="81" xfId="0" applyFont="1" applyBorder="1" applyAlignment="1">
      <alignment horizontal="left" vertical="center" wrapText="1"/>
    </xf>
    <xf numFmtId="0" fontId="3" fillId="22" borderId="0" xfId="0" applyFont="1" applyFill="1" applyAlignment="1">
      <alignment vertical="top" wrapText="1"/>
    </xf>
    <xf numFmtId="0" fontId="3" fillId="0" borderId="81" xfId="0" applyFont="1" applyBorder="1" applyAlignment="1">
      <alignment horizontal="left" vertical="center" wrapText="1"/>
    </xf>
    <xf numFmtId="0" fontId="10" fillId="0" borderId="81" xfId="0" applyFont="1" applyBorder="1" applyAlignment="1">
      <alignment horizontal="left" vertical="center" wrapText="1"/>
    </xf>
    <xf numFmtId="0" fontId="4" fillId="0" borderId="81" xfId="0" applyFont="1" applyBorder="1" applyAlignment="1">
      <alignment horizontal="left" vertical="center" wrapText="1"/>
    </xf>
    <xf numFmtId="0" fontId="3" fillId="0" borderId="81" xfId="0" applyFont="1" applyBorder="1" applyAlignment="1">
      <alignment vertical="center" wrapText="1"/>
    </xf>
    <xf numFmtId="0" fontId="4" fillId="0" borderId="81" xfId="0" applyFont="1" applyBorder="1" applyAlignment="1">
      <alignment vertical="center" wrapText="1"/>
    </xf>
    <xf numFmtId="0" fontId="21" fillId="0" borderId="81" xfId="0" applyFont="1" applyBorder="1" applyAlignment="1">
      <alignment horizontal="left" wrapText="1" indent="1"/>
    </xf>
    <xf numFmtId="0" fontId="3" fillId="0" borderId="81" xfId="0" applyFont="1" applyBorder="1" applyAlignment="1">
      <alignment horizontal="left" wrapText="1" indent="1"/>
    </xf>
    <xf numFmtId="0" fontId="4" fillId="0" borderId="81" xfId="0" applyFont="1" applyBorder="1" applyAlignment="1">
      <alignment wrapText="1"/>
    </xf>
    <xf numFmtId="0" fontId="3" fillId="0" borderId="81" xfId="0" applyFont="1" applyBorder="1" applyAlignment="1">
      <alignment wrapText="1"/>
    </xf>
    <xf numFmtId="0" fontId="3" fillId="0" borderId="23" xfId="0" applyFont="1" applyBorder="1" applyAlignment="1">
      <alignment wrapText="1"/>
    </xf>
    <xf numFmtId="2" fontId="3" fillId="5" borderId="23" xfId="0" applyNumberFormat="1" applyFont="1" applyFill="1" applyBorder="1" applyAlignment="1">
      <alignment horizontal="center"/>
    </xf>
    <xf numFmtId="0" fontId="20" fillId="0" borderId="81" xfId="0" applyFont="1" applyBorder="1" applyAlignment="1">
      <alignment horizontal="left" vertical="center" wrapText="1"/>
    </xf>
    <xf numFmtId="0" fontId="4" fillId="0" borderId="6" xfId="0" applyFont="1" applyBorder="1" applyAlignment="1">
      <alignment horizontal="center" wrapText="1"/>
    </xf>
    <xf numFmtId="0" fontId="3" fillId="7" borderId="18" xfId="0" applyFont="1" applyFill="1" applyBorder="1" applyAlignment="1">
      <alignment horizontal="center" wrapText="1"/>
    </xf>
    <xf numFmtId="0" fontId="4" fillId="0" borderId="5" xfId="0" applyFont="1" applyBorder="1" applyAlignment="1">
      <alignment wrapText="1"/>
    </xf>
    <xf numFmtId="0" fontId="4" fillId="5" borderId="30"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 fillId="21" borderId="18" xfId="0" applyFont="1" applyFill="1" applyBorder="1" applyAlignment="1">
      <alignment horizontal="center" wrapText="1"/>
    </xf>
    <xf numFmtId="165" fontId="4" fillId="5" borderId="36" xfId="0" applyNumberFormat="1" applyFont="1" applyFill="1" applyBorder="1" applyAlignment="1">
      <alignment wrapText="1"/>
    </xf>
    <xf numFmtId="165" fontId="4" fillId="5" borderId="29" xfId="0" applyNumberFormat="1" applyFont="1" applyFill="1" applyBorder="1" applyAlignment="1">
      <alignment wrapText="1"/>
    </xf>
    <xf numFmtId="1" fontId="3" fillId="2" borderId="19" xfId="0" applyNumberFormat="1" applyFont="1" applyFill="1" applyBorder="1" applyAlignment="1" applyProtection="1">
      <alignment horizontal="center"/>
      <protection locked="0"/>
    </xf>
    <xf numFmtId="0" fontId="4" fillId="0" borderId="15" xfId="0" applyFont="1" applyBorder="1" applyAlignment="1">
      <alignment horizontal="center" vertical="center"/>
    </xf>
    <xf numFmtId="0" fontId="3" fillId="0" borderId="41" xfId="0" applyFont="1" applyBorder="1"/>
    <xf numFmtId="0" fontId="4" fillId="4"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pplyProtection="1">
      <alignment horizontal="center" vertical="center" wrapText="1"/>
      <protection locked="0"/>
    </xf>
    <xf numFmtId="170" fontId="4" fillId="2" borderId="19" xfId="1" applyNumberFormat="1" applyFont="1" applyFill="1" applyBorder="1" applyAlignment="1" applyProtection="1">
      <alignment vertical="top" wrapText="1"/>
      <protection locked="0"/>
    </xf>
    <xf numFmtId="170" fontId="4" fillId="2" borderId="45" xfId="1" applyNumberFormat="1" applyFont="1" applyFill="1" applyBorder="1" applyAlignment="1" applyProtection="1">
      <alignment vertical="top" wrapText="1"/>
      <protection locked="0"/>
    </xf>
    <xf numFmtId="0" fontId="25" fillId="0" borderId="0" xfId="0" applyFont="1" applyAlignment="1">
      <alignment vertical="center" wrapText="1"/>
    </xf>
    <xf numFmtId="0" fontId="22" fillId="0" borderId="0" xfId="0" applyFont="1" applyAlignment="1">
      <alignment horizontal="left" vertical="top" wrapText="1"/>
    </xf>
    <xf numFmtId="0" fontId="4" fillId="0" borderId="47" xfId="0" applyFont="1" applyBorder="1" applyAlignment="1">
      <alignment horizontal="center" vertical="center"/>
    </xf>
    <xf numFmtId="2" fontId="3" fillId="0" borderId="0" xfId="0" applyNumberFormat="1" applyFont="1" applyAlignment="1">
      <alignment horizontal="center"/>
    </xf>
    <xf numFmtId="0" fontId="3" fillId="20" borderId="46" xfId="0" applyFont="1" applyFill="1" applyBorder="1" applyAlignment="1">
      <alignment horizontal="center"/>
    </xf>
    <xf numFmtId="0" fontId="3" fillId="0" borderId="74" xfId="0" applyFont="1" applyBorder="1"/>
    <xf numFmtId="0" fontId="3" fillId="7" borderId="50" xfId="0" applyFont="1" applyFill="1" applyBorder="1" applyAlignment="1">
      <alignment horizontal="center"/>
    </xf>
    <xf numFmtId="0" fontId="3" fillId="3" borderId="19" xfId="0" applyFont="1" applyFill="1" applyBorder="1" applyAlignment="1" applyProtection="1">
      <alignment horizontal="center"/>
      <protection locked="0"/>
    </xf>
    <xf numFmtId="2" fontId="3" fillId="5" borderId="76" xfId="0" applyNumberFormat="1" applyFont="1" applyFill="1" applyBorder="1" applyAlignment="1">
      <alignment horizontal="center"/>
    </xf>
    <xf numFmtId="0" fontId="4" fillId="0" borderId="1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5" xfId="0" applyFont="1" applyBorder="1" applyAlignment="1">
      <alignment horizontal="center" vertical="center" wrapText="1"/>
    </xf>
    <xf numFmtId="0" fontId="4" fillId="15" borderId="83" xfId="0" applyFont="1" applyFill="1" applyBorder="1" applyAlignment="1">
      <alignment horizontal="left" vertical="center" wrapText="1"/>
    </xf>
    <xf numFmtId="0" fontId="4" fillId="15" borderId="8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17" borderId="32" xfId="0" applyFont="1" applyFill="1" applyBorder="1" applyAlignment="1">
      <alignment horizontal="center" vertical="top" wrapText="1"/>
    </xf>
    <xf numFmtId="0" fontId="4" fillId="15" borderId="18"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3" fillId="2" borderId="41"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protection locked="0"/>
    </xf>
    <xf numFmtId="0" fontId="4" fillId="4" borderId="41" xfId="0" applyFont="1" applyFill="1" applyBorder="1" applyAlignment="1">
      <alignment horizontal="center" vertical="center" wrapText="1"/>
    </xf>
    <xf numFmtId="172" fontId="4" fillId="5" borderId="22" xfId="0" applyNumberFormat="1" applyFont="1" applyFill="1" applyBorder="1" applyAlignment="1">
      <alignment horizontal="center"/>
    </xf>
    <xf numFmtId="3" fontId="9" fillId="6" borderId="25" xfId="0" applyNumberFormat="1" applyFont="1" applyFill="1" applyBorder="1" applyProtection="1">
      <protection locked="0"/>
    </xf>
    <xf numFmtId="165" fontId="4" fillId="0" borderId="32" xfId="0" applyNumberFormat="1" applyFont="1" applyBorder="1" applyAlignment="1" applyProtection="1">
      <alignment horizontal="center" wrapText="1"/>
      <protection locked="0"/>
    </xf>
    <xf numFmtId="0" fontId="47" fillId="0" borderId="34" xfId="0" applyFont="1" applyBorder="1" applyAlignment="1">
      <alignment vertical="top" wrapText="1"/>
    </xf>
    <xf numFmtId="4" fontId="3" fillId="0" borderId="0" xfId="0" applyNumberFormat="1" applyFont="1"/>
    <xf numFmtId="173" fontId="4" fillId="4" borderId="31" xfId="0" applyNumberFormat="1" applyFont="1" applyFill="1" applyBorder="1" applyAlignment="1">
      <alignment horizontal="center" wrapText="1"/>
    </xf>
    <xf numFmtId="173" fontId="4" fillId="4" borderId="31" xfId="0" applyNumberFormat="1" applyFont="1" applyFill="1" applyBorder="1" applyAlignment="1">
      <alignment horizontal="center"/>
    </xf>
    <xf numFmtId="173" fontId="4" fillId="4" borderId="38" xfId="0" applyNumberFormat="1" applyFont="1" applyFill="1" applyBorder="1" applyAlignment="1">
      <alignment horizontal="center" wrapText="1"/>
    </xf>
    <xf numFmtId="173" fontId="4" fillId="4" borderId="38" xfId="0" applyNumberFormat="1" applyFont="1" applyFill="1" applyBorder="1" applyAlignment="1">
      <alignment horizontal="center"/>
    </xf>
    <xf numFmtId="173" fontId="4" fillId="4" borderId="21" xfId="0" applyNumberFormat="1" applyFont="1" applyFill="1" applyBorder="1" applyAlignment="1">
      <alignment horizontal="center" wrapText="1"/>
    </xf>
    <xf numFmtId="173" fontId="4" fillId="4" borderId="21" xfId="0" applyNumberFormat="1" applyFont="1" applyFill="1" applyBorder="1" applyAlignment="1">
      <alignment horizontal="center"/>
    </xf>
    <xf numFmtId="3" fontId="4" fillId="4" borderId="34" xfId="0" applyNumberFormat="1" applyFont="1" applyFill="1" applyBorder="1" applyAlignment="1">
      <alignment horizontal="center"/>
    </xf>
    <xf numFmtId="3" fontId="4" fillId="4" borderId="81" xfId="0" applyNumberFormat="1" applyFont="1" applyFill="1" applyBorder="1" applyAlignment="1">
      <alignment horizontal="center"/>
    </xf>
    <xf numFmtId="3" fontId="4" fillId="4" borderId="23" xfId="0" applyNumberFormat="1" applyFont="1" applyFill="1" applyBorder="1" applyAlignment="1">
      <alignment horizontal="center"/>
    </xf>
    <xf numFmtId="173" fontId="4" fillId="4" borderId="39" xfId="0" applyNumberFormat="1" applyFont="1" applyFill="1" applyBorder="1" applyAlignment="1">
      <alignment horizontal="center"/>
    </xf>
    <xf numFmtId="173" fontId="4" fillId="4" borderId="20" xfId="0" applyNumberFormat="1" applyFont="1" applyFill="1" applyBorder="1" applyAlignment="1">
      <alignment horizontal="center"/>
    </xf>
    <xf numFmtId="3" fontId="4" fillId="4" borderId="40" xfId="0" applyNumberFormat="1" applyFont="1" applyFill="1" applyBorder="1" applyAlignment="1">
      <alignment horizontal="center"/>
    </xf>
    <xf numFmtId="3" fontId="4" fillId="4" borderId="29" xfId="0" applyNumberFormat="1" applyFont="1" applyFill="1" applyBorder="1" applyAlignment="1">
      <alignment horizontal="center"/>
    </xf>
    <xf numFmtId="0" fontId="48" fillId="0" borderId="0" xfId="0" applyFont="1"/>
    <xf numFmtId="0" fontId="26" fillId="0" borderId="0" xfId="0" applyFont="1" applyAlignment="1">
      <alignment horizontal="left" vertical="center"/>
    </xf>
    <xf numFmtId="0" fontId="3" fillId="2" borderId="19" xfId="0" applyFont="1" applyFill="1" applyBorder="1" applyAlignment="1" applyProtection="1">
      <alignment horizontal="center" vertical="center"/>
      <protection locked="0"/>
    </xf>
    <xf numFmtId="0" fontId="3" fillId="11" borderId="76"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protection locked="0"/>
    </xf>
    <xf numFmtId="2" fontId="3" fillId="2" borderId="19" xfId="0" applyNumberFormat="1" applyFont="1" applyFill="1" applyBorder="1" applyAlignment="1" applyProtection="1">
      <alignment horizontal="center" vertical="center"/>
      <protection locked="0"/>
    </xf>
    <xf numFmtId="0" fontId="4" fillId="4" borderId="18" xfId="0"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3" fillId="20" borderId="10" xfId="0" applyFont="1" applyFill="1" applyBorder="1" applyAlignment="1">
      <alignment horizontal="center"/>
    </xf>
    <xf numFmtId="0" fontId="3" fillId="20" borderId="10" xfId="0" quotePrefix="1" applyFont="1" applyFill="1" applyBorder="1" applyAlignment="1">
      <alignment horizontal="center"/>
    </xf>
    <xf numFmtId="165" fontId="4" fillId="0" borderId="34" xfId="0" applyNumberFormat="1" applyFont="1" applyBorder="1" applyAlignment="1">
      <alignment horizontal="center" vertical="center"/>
    </xf>
    <xf numFmtId="165" fontId="4" fillId="0" borderId="17" xfId="0" applyNumberFormat="1" applyFont="1" applyBorder="1" applyAlignment="1">
      <alignment horizontal="center" vertical="center"/>
    </xf>
    <xf numFmtId="0" fontId="3" fillId="20" borderId="14" xfId="0" applyFont="1" applyFill="1" applyBorder="1" applyAlignment="1">
      <alignment horizontal="center"/>
    </xf>
    <xf numFmtId="165" fontId="3" fillId="5" borderId="37" xfId="0" applyNumberFormat="1" applyFont="1" applyFill="1" applyBorder="1" applyAlignment="1">
      <alignment horizontal="center" vertical="center"/>
    </xf>
    <xf numFmtId="4" fontId="3" fillId="2" borderId="46" xfId="0" applyNumberFormat="1" applyFont="1" applyFill="1" applyBorder="1" applyAlignment="1" applyProtection="1">
      <alignment horizontal="center" wrapText="1"/>
      <protection locked="0"/>
    </xf>
    <xf numFmtId="165" fontId="4" fillId="0" borderId="37" xfId="0" applyNumberFormat="1" applyFont="1" applyBorder="1" applyAlignment="1">
      <alignment horizontal="center" vertical="center"/>
    </xf>
    <xf numFmtId="0" fontId="4" fillId="0" borderId="17" xfId="0" applyFont="1" applyBorder="1" applyAlignment="1">
      <alignment horizontal="center" vertical="top" wrapText="1"/>
    </xf>
    <xf numFmtId="2" fontId="3" fillId="2" borderId="19" xfId="0" applyNumberFormat="1" applyFont="1" applyFill="1" applyBorder="1" applyAlignment="1" applyProtection="1">
      <alignment vertical="center"/>
      <protection locked="0"/>
    </xf>
    <xf numFmtId="0" fontId="3" fillId="2" borderId="41" xfId="0" applyFont="1" applyFill="1" applyBorder="1" applyAlignment="1" applyProtection="1">
      <alignment horizontal="center" vertical="center"/>
      <protection locked="0"/>
    </xf>
    <xf numFmtId="0" fontId="3" fillId="11" borderId="45"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4" fillId="4" borderId="32" xfId="0" applyFont="1" applyFill="1" applyBorder="1" applyAlignment="1">
      <alignment horizontal="center" vertical="center"/>
    </xf>
    <xf numFmtId="0" fontId="3" fillId="2" borderId="31"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protection locked="0"/>
    </xf>
    <xf numFmtId="0" fontId="30" fillId="0" borderId="0" xfId="0" applyFont="1" applyAlignment="1" applyProtection="1">
      <alignment horizontal="left" vertical="top" wrapText="1"/>
      <protection hidden="1"/>
    </xf>
    <xf numFmtId="0" fontId="30" fillId="0" borderId="0" xfId="0" applyFont="1" applyAlignment="1">
      <alignment horizontal="center"/>
    </xf>
    <xf numFmtId="0" fontId="4" fillId="0" borderId="13" xfId="0" applyFont="1" applyBorder="1" applyAlignment="1">
      <alignment wrapText="1"/>
    </xf>
    <xf numFmtId="165" fontId="4" fillId="0" borderId="24" xfId="0" applyNumberFormat="1" applyFont="1" applyBorder="1" applyAlignment="1">
      <alignment horizontal="center"/>
    </xf>
    <xf numFmtId="165" fontId="4" fillId="0" borderId="24" xfId="0" applyNumberFormat="1" applyFont="1" applyBorder="1"/>
    <xf numFmtId="165" fontId="4" fillId="0" borderId="47" xfId="0" applyNumberFormat="1" applyFont="1" applyBorder="1"/>
    <xf numFmtId="165" fontId="3" fillId="5" borderId="0" xfId="0" applyNumberFormat="1" applyFont="1" applyFill="1"/>
    <xf numFmtId="0" fontId="4" fillId="0" borderId="13" xfId="0" applyFont="1" applyBorder="1" applyAlignment="1">
      <alignment horizontal="center" wrapText="1"/>
    </xf>
    <xf numFmtId="165" fontId="4" fillId="0" borderId="47" xfId="0" applyNumberFormat="1" applyFont="1" applyBorder="1" applyAlignment="1">
      <alignment horizontal="center"/>
    </xf>
    <xf numFmtId="0" fontId="3" fillId="5" borderId="87" xfId="0" applyFont="1" applyFill="1" applyBorder="1" applyAlignment="1">
      <alignment horizontal="left"/>
    </xf>
    <xf numFmtId="0" fontId="4" fillId="2" borderId="87" xfId="0" applyFont="1" applyFill="1" applyBorder="1"/>
    <xf numFmtId="0" fontId="4" fillId="4" borderId="87" xfId="0" applyFont="1" applyFill="1" applyBorder="1" applyAlignment="1">
      <alignment horizontal="left"/>
    </xf>
    <xf numFmtId="0" fontId="4" fillId="5" borderId="87" xfId="0" applyFont="1" applyFill="1" applyBorder="1"/>
    <xf numFmtId="0" fontId="4" fillId="11" borderId="87" xfId="0" applyFont="1" applyFill="1" applyBorder="1"/>
    <xf numFmtId="0" fontId="4" fillId="7" borderId="87" xfId="0" applyFont="1" applyFill="1" applyBorder="1"/>
    <xf numFmtId="0" fontId="3" fillId="8" borderId="87" xfId="0" applyFont="1" applyFill="1" applyBorder="1" applyAlignment="1">
      <alignment horizontal="left"/>
    </xf>
    <xf numFmtId="0" fontId="3" fillId="0" borderId="91" xfId="0" applyFont="1" applyBorder="1" applyAlignment="1">
      <alignment vertical="center"/>
    </xf>
    <xf numFmtId="0" fontId="3" fillId="0" borderId="89" xfId="0" applyFont="1" applyBorder="1" applyAlignment="1">
      <alignment vertical="center"/>
    </xf>
    <xf numFmtId="0" fontId="3" fillId="2" borderId="90" xfId="0" applyFont="1" applyFill="1" applyBorder="1" applyAlignment="1" applyProtection="1">
      <alignment horizontal="center" vertical="center"/>
      <protection locked="0"/>
    </xf>
    <xf numFmtId="2" fontId="3" fillId="5" borderId="93" xfId="0" applyNumberFormat="1" applyFont="1" applyFill="1" applyBorder="1" applyAlignment="1">
      <alignment horizontal="center"/>
    </xf>
    <xf numFmtId="1" fontId="3" fillId="2" borderId="95" xfId="0" applyNumberFormat="1" applyFont="1" applyFill="1" applyBorder="1" applyAlignment="1" applyProtection="1">
      <alignment horizontal="center"/>
      <protection locked="0"/>
    </xf>
    <xf numFmtId="0" fontId="3" fillId="3" borderId="95" xfId="0" applyFont="1" applyFill="1" applyBorder="1" applyAlignment="1" applyProtection="1">
      <alignment horizontal="center"/>
      <protection locked="0"/>
    </xf>
    <xf numFmtId="2" fontId="3" fillId="5" borderId="97" xfId="0" applyNumberFormat="1" applyFont="1" applyFill="1" applyBorder="1" applyAlignment="1">
      <alignment horizontal="center"/>
    </xf>
    <xf numFmtId="0" fontId="3" fillId="2" borderId="91" xfId="0" applyFont="1" applyFill="1" applyBorder="1" applyAlignment="1" applyProtection="1">
      <alignment horizontal="center" vertical="center" wrapText="1"/>
      <protection locked="0"/>
    </xf>
    <xf numFmtId="0" fontId="3" fillId="2" borderId="87" xfId="0" applyFont="1" applyFill="1" applyBorder="1" applyAlignment="1" applyProtection="1">
      <alignment horizontal="center" vertical="center"/>
      <protection locked="0"/>
    </xf>
    <xf numFmtId="0" fontId="3" fillId="2" borderId="89" xfId="0" applyFont="1" applyFill="1" applyBorder="1" applyAlignment="1" applyProtection="1">
      <alignment horizontal="center" vertical="center" wrapText="1"/>
      <protection locked="0"/>
    </xf>
    <xf numFmtId="0" fontId="3" fillId="2" borderId="96" xfId="0" applyFont="1" applyFill="1" applyBorder="1" applyAlignment="1" applyProtection="1">
      <alignment horizontal="center" vertical="center"/>
      <protection locked="0"/>
    </xf>
    <xf numFmtId="0" fontId="3" fillId="0" borderId="91" xfId="0" applyFont="1" applyBorder="1"/>
    <xf numFmtId="0" fontId="4" fillId="0" borderId="89" xfId="0" applyFont="1" applyBorder="1"/>
    <xf numFmtId="170" fontId="3" fillId="5" borderId="95" xfId="1" applyNumberFormat="1" applyFont="1" applyFill="1" applyBorder="1" applyAlignment="1" applyProtection="1"/>
    <xf numFmtId="170" fontId="3" fillId="5" borderId="90" xfId="1" applyNumberFormat="1" applyFont="1" applyFill="1" applyBorder="1" applyAlignment="1" applyProtection="1"/>
    <xf numFmtId="0" fontId="4" fillId="4" borderId="95" xfId="0" applyFont="1" applyFill="1" applyBorder="1" applyAlignment="1">
      <alignment horizontal="center" vertical="center"/>
    </xf>
    <xf numFmtId="0" fontId="4" fillId="4" borderId="91" xfId="0" applyFont="1" applyFill="1" applyBorder="1" applyAlignment="1">
      <alignment horizontal="center" vertical="center" wrapText="1"/>
    </xf>
    <xf numFmtId="0" fontId="4" fillId="4" borderId="89" xfId="0" applyFont="1" applyFill="1" applyBorder="1" applyAlignment="1">
      <alignment horizontal="center" vertical="center" wrapText="1"/>
    </xf>
    <xf numFmtId="0" fontId="4" fillId="4" borderId="90" xfId="0" applyFont="1" applyFill="1" applyBorder="1" applyAlignment="1">
      <alignment horizontal="center" vertical="center"/>
    </xf>
    <xf numFmtId="0" fontId="3" fillId="2" borderId="85" xfId="0" applyFont="1" applyFill="1" applyBorder="1" applyAlignment="1" applyProtection="1">
      <alignment vertical="top" wrapText="1"/>
      <protection locked="0"/>
    </xf>
    <xf numFmtId="0" fontId="3" fillId="2" borderId="85" xfId="0" applyFont="1" applyFill="1" applyBorder="1" applyAlignment="1" applyProtection="1">
      <alignment horizontal="center" vertical="top" wrapText="1"/>
      <protection locked="0"/>
    </xf>
    <xf numFmtId="0" fontId="4" fillId="4" borderId="89" xfId="0" applyFont="1" applyFill="1" applyBorder="1" applyAlignment="1">
      <alignment vertical="top" wrapText="1"/>
    </xf>
    <xf numFmtId="0" fontId="3" fillId="2" borderId="95" xfId="0" applyFont="1" applyFill="1" applyBorder="1" applyAlignment="1" applyProtection="1">
      <alignment horizontal="center" vertical="top" wrapText="1"/>
      <protection locked="0"/>
    </xf>
    <xf numFmtId="0" fontId="3" fillId="2" borderId="95" xfId="0" applyFont="1" applyFill="1" applyBorder="1" applyAlignment="1" applyProtection="1">
      <alignment horizontal="center"/>
      <protection locked="0"/>
    </xf>
    <xf numFmtId="0" fontId="3" fillId="2" borderId="90" xfId="0" applyFont="1" applyFill="1" applyBorder="1" applyAlignment="1" applyProtection="1">
      <alignment horizontal="center"/>
      <protection locked="0"/>
    </xf>
    <xf numFmtId="0" fontId="4" fillId="4" borderId="90" xfId="0" applyFont="1" applyFill="1" applyBorder="1" applyAlignment="1">
      <alignment horizontal="center" vertical="center" wrapText="1"/>
    </xf>
    <xf numFmtId="0" fontId="4" fillId="4" borderId="94" xfId="0" applyFont="1" applyFill="1" applyBorder="1" applyAlignment="1">
      <alignment horizontal="center" vertical="top" wrapText="1"/>
    </xf>
    <xf numFmtId="0" fontId="3" fillId="2" borderId="89" xfId="0" applyFont="1" applyFill="1" applyBorder="1" applyAlignment="1" applyProtection="1">
      <alignment horizontal="center"/>
      <protection locked="0"/>
    </xf>
    <xf numFmtId="0" fontId="4" fillId="4" borderId="92" xfId="0" applyFont="1" applyFill="1" applyBorder="1" applyAlignment="1">
      <alignment horizontal="center" vertical="top" wrapText="1"/>
    </xf>
    <xf numFmtId="0" fontId="3" fillId="2" borderId="91" xfId="0" applyFont="1" applyFill="1" applyBorder="1" applyAlignment="1" applyProtection="1">
      <alignment horizontal="center"/>
      <protection locked="0"/>
    </xf>
    <xf numFmtId="0" fontId="4" fillId="4" borderId="93" xfId="0" applyFont="1" applyFill="1" applyBorder="1" applyAlignment="1">
      <alignment horizontal="center" vertical="center"/>
    </xf>
    <xf numFmtId="0" fontId="3" fillId="2" borderId="95" xfId="0" applyFont="1" applyFill="1" applyBorder="1" applyAlignment="1" applyProtection="1">
      <alignment horizontal="center" vertical="center"/>
      <protection locked="0"/>
    </xf>
    <xf numFmtId="0" fontId="3" fillId="11" borderId="93" xfId="0" applyFont="1" applyFill="1" applyBorder="1" applyAlignment="1" applyProtection="1">
      <alignment horizontal="center" vertical="center"/>
      <protection locked="0"/>
    </xf>
    <xf numFmtId="0" fontId="3" fillId="3" borderId="95" xfId="0" applyFont="1" applyFill="1" applyBorder="1" applyAlignment="1" applyProtection="1">
      <alignment horizontal="center" vertical="center"/>
      <protection locked="0"/>
    </xf>
    <xf numFmtId="0" fontId="3" fillId="11" borderId="97" xfId="0" applyFont="1" applyFill="1" applyBorder="1" applyAlignment="1" applyProtection="1">
      <alignment horizontal="center" vertical="center"/>
      <protection locked="0"/>
    </xf>
    <xf numFmtId="0" fontId="3" fillId="0" borderId="89" xfId="0" applyFont="1" applyBorder="1"/>
    <xf numFmtId="0" fontId="3" fillId="3" borderId="90" xfId="0" applyFont="1" applyFill="1" applyBorder="1" applyAlignment="1" applyProtection="1">
      <alignment horizontal="center"/>
      <protection locked="0"/>
    </xf>
    <xf numFmtId="0" fontId="4" fillId="11" borderId="87" xfId="0" applyFont="1" applyFill="1" applyBorder="1" applyAlignment="1">
      <alignment vertical="center"/>
    </xf>
    <xf numFmtId="0" fontId="4" fillId="11" borderId="88" xfId="0" applyFont="1" applyFill="1" applyBorder="1" applyAlignment="1">
      <alignment vertical="center"/>
    </xf>
    <xf numFmtId="0" fontId="3" fillId="4" borderId="95" xfId="0" applyFont="1" applyFill="1" applyBorder="1" applyAlignment="1">
      <alignment horizontal="center"/>
    </xf>
    <xf numFmtId="0" fontId="3" fillId="3" borderId="95" xfId="0" applyFont="1" applyFill="1" applyBorder="1" applyProtection="1">
      <protection locked="0"/>
    </xf>
    <xf numFmtId="0" fontId="3" fillId="4" borderId="90" xfId="0" applyFont="1" applyFill="1" applyBorder="1" applyAlignment="1">
      <alignment horizontal="center"/>
    </xf>
    <xf numFmtId="3" fontId="3" fillId="3" borderId="95" xfId="0" applyNumberFormat="1" applyFont="1" applyFill="1" applyBorder="1" applyAlignment="1" applyProtection="1">
      <alignment horizontal="center" vertical="center" wrapText="1"/>
      <protection locked="0"/>
    </xf>
    <xf numFmtId="3" fontId="3" fillId="3" borderId="95" xfId="0" applyNumberFormat="1" applyFont="1" applyFill="1" applyBorder="1" applyAlignment="1" applyProtection="1">
      <alignment horizontal="center"/>
      <protection locked="0"/>
    </xf>
    <xf numFmtId="0" fontId="3" fillId="5" borderId="90" xfId="1" applyNumberFormat="1" applyFont="1" applyFill="1" applyBorder="1" applyAlignment="1" applyProtection="1">
      <alignment horizontal="center" vertical="center" wrapText="1"/>
    </xf>
    <xf numFmtId="4" fontId="3" fillId="2" borderId="85" xfId="0" applyNumberFormat="1" applyFont="1" applyFill="1" applyBorder="1" applyAlignment="1" applyProtection="1">
      <alignment horizontal="center" wrapText="1"/>
      <protection locked="0"/>
    </xf>
    <xf numFmtId="170" fontId="3" fillId="2" borderId="88" xfId="1" applyNumberFormat="1" applyFont="1" applyFill="1" applyBorder="1" applyAlignment="1" applyProtection="1">
      <alignment horizontal="center" vertical="center" wrapText="1"/>
      <protection locked="0"/>
    </xf>
    <xf numFmtId="170" fontId="3" fillId="2" borderId="99" xfId="1" applyNumberFormat="1" applyFont="1" applyFill="1" applyBorder="1" applyAlignment="1" applyProtection="1">
      <alignment horizontal="center" vertical="center" wrapText="1"/>
      <protection locked="0"/>
    </xf>
    <xf numFmtId="170" fontId="3" fillId="2" borderId="95" xfId="1" applyNumberFormat="1" applyFont="1" applyFill="1" applyBorder="1" applyAlignment="1" applyProtection="1">
      <alignment horizontal="center" vertical="center" wrapText="1"/>
      <protection locked="0"/>
    </xf>
    <xf numFmtId="0" fontId="3" fillId="2" borderId="90" xfId="0" applyFont="1" applyFill="1" applyBorder="1" applyAlignment="1" applyProtection="1">
      <alignment horizontal="center" vertical="center" wrapText="1"/>
      <protection locked="0"/>
    </xf>
    <xf numFmtId="0" fontId="3" fillId="0" borderId="91" xfId="0" applyFont="1" applyBorder="1" applyAlignment="1">
      <alignment horizontal="center" vertical="center" wrapText="1"/>
    </xf>
    <xf numFmtId="0" fontId="3" fillId="2" borderId="91" xfId="0" applyFont="1" applyFill="1" applyBorder="1" applyAlignment="1" applyProtection="1">
      <alignment horizontal="center" vertical="center"/>
      <protection locked="0"/>
    </xf>
    <xf numFmtId="0" fontId="3" fillId="2" borderId="89" xfId="0" applyFont="1" applyFill="1" applyBorder="1" applyAlignment="1" applyProtection="1">
      <alignment horizontal="center" vertical="center"/>
      <protection locked="0"/>
    </xf>
    <xf numFmtId="0" fontId="3" fillId="11" borderId="90" xfId="0" applyFont="1" applyFill="1" applyBorder="1" applyAlignment="1" applyProtection="1">
      <alignment horizontal="center" vertical="center"/>
      <protection locked="0"/>
    </xf>
    <xf numFmtId="0" fontId="3" fillId="2" borderId="91" xfId="0" applyFont="1" applyFill="1" applyBorder="1" applyProtection="1">
      <protection locked="0"/>
    </xf>
    <xf numFmtId="0" fontId="3" fillId="2" borderId="89" xfId="0" applyFont="1" applyFill="1" applyBorder="1" applyProtection="1">
      <protection locked="0"/>
    </xf>
    <xf numFmtId="0" fontId="4" fillId="0" borderId="91" xfId="0" applyFont="1" applyBorder="1"/>
    <xf numFmtId="165" fontId="3" fillId="5" borderId="95" xfId="0" applyNumberFormat="1" applyFont="1" applyFill="1" applyBorder="1" applyAlignment="1">
      <alignment horizontal="center"/>
    </xf>
    <xf numFmtId="165" fontId="3" fillId="5" borderId="95" xfId="0" applyNumberFormat="1" applyFont="1" applyFill="1" applyBorder="1"/>
    <xf numFmtId="0" fontId="4" fillId="20" borderId="87" xfId="0" applyFont="1" applyFill="1" applyBorder="1" applyAlignment="1">
      <alignment horizontal="left"/>
    </xf>
    <xf numFmtId="0" fontId="3" fillId="20" borderId="87" xfId="0" applyFont="1" applyFill="1" applyBorder="1" applyAlignment="1">
      <alignment horizontal="left"/>
    </xf>
    <xf numFmtId="0" fontId="4" fillId="5" borderId="87" xfId="0" applyFont="1" applyFill="1" applyBorder="1" applyAlignment="1">
      <alignment horizontal="left"/>
    </xf>
    <xf numFmtId="0" fontId="4" fillId="20" borderId="91" xfId="0" applyFont="1" applyFill="1" applyBorder="1" applyAlignment="1">
      <alignment horizontal="center" wrapText="1"/>
    </xf>
    <xf numFmtId="0" fontId="4" fillId="20" borderId="89" xfId="0" applyFont="1" applyFill="1" applyBorder="1" applyAlignment="1">
      <alignment horizontal="center" wrapText="1"/>
    </xf>
    <xf numFmtId="0" fontId="3" fillId="20" borderId="95" xfId="0" applyFont="1" applyFill="1" applyBorder="1"/>
    <xf numFmtId="0" fontId="3" fillId="5" borderId="95" xfId="0" applyFont="1" applyFill="1" applyBorder="1"/>
    <xf numFmtId="165" fontId="4" fillId="0" borderId="89" xfId="0" applyNumberFormat="1" applyFont="1" applyBorder="1" applyAlignment="1">
      <alignment horizontal="left"/>
    </xf>
    <xf numFmtId="165" fontId="4" fillId="5" borderId="90" xfId="0" applyNumberFormat="1" applyFont="1" applyFill="1" applyBorder="1"/>
    <xf numFmtId="2" fontId="3" fillId="20" borderId="88" xfId="0" applyNumberFormat="1" applyFont="1" applyFill="1" applyBorder="1"/>
    <xf numFmtId="0" fontId="3" fillId="8" borderId="87" xfId="0" applyFont="1" applyFill="1" applyBorder="1"/>
    <xf numFmtId="0" fontId="3" fillId="8" borderId="88" xfId="0" applyFont="1" applyFill="1" applyBorder="1"/>
    <xf numFmtId="0" fontId="3" fillId="20" borderId="91" xfId="0" applyFont="1" applyFill="1" applyBorder="1" applyAlignment="1">
      <alignment horizontal="center" vertical="center" wrapText="1"/>
    </xf>
    <xf numFmtId="0" fontId="3" fillId="20" borderId="88" xfId="0" applyFont="1" applyFill="1" applyBorder="1" applyAlignment="1">
      <alignment horizontal="center" vertical="center" wrapText="1"/>
    </xf>
    <xf numFmtId="0" fontId="3" fillId="7" borderId="91" xfId="0" applyFont="1" applyFill="1" applyBorder="1" applyAlignment="1">
      <alignment horizontal="center"/>
    </xf>
    <xf numFmtId="169" fontId="3" fillId="5" borderId="85" xfId="0" applyNumberFormat="1" applyFont="1" applyFill="1" applyBorder="1" applyAlignment="1">
      <alignment horizontal="center" vertical="top" wrapText="1"/>
    </xf>
    <xf numFmtId="0" fontId="3" fillId="20" borderId="89" xfId="0" applyFont="1" applyFill="1" applyBorder="1" applyAlignment="1">
      <alignment horizontal="center" vertical="center" wrapText="1"/>
    </xf>
    <xf numFmtId="0" fontId="3" fillId="20" borderId="99" xfId="0" applyFont="1" applyFill="1" applyBorder="1" applyAlignment="1">
      <alignment horizontal="center" vertical="center" wrapText="1"/>
    </xf>
    <xf numFmtId="0" fontId="3" fillId="20" borderId="97" xfId="0" applyFont="1" applyFill="1" applyBorder="1" applyAlignment="1">
      <alignment horizontal="center" vertical="center" wrapText="1"/>
    </xf>
    <xf numFmtId="0" fontId="3" fillId="5" borderId="87" xfId="0" applyFont="1" applyFill="1" applyBorder="1"/>
    <xf numFmtId="0" fontId="3" fillId="5" borderId="88" xfId="0" applyFont="1" applyFill="1" applyBorder="1"/>
    <xf numFmtId="0" fontId="4" fillId="0" borderId="89" xfId="0" applyFont="1" applyBorder="1" applyAlignment="1">
      <alignment horizontal="left"/>
    </xf>
    <xf numFmtId="0" fontId="3" fillId="20" borderId="90" xfId="0" applyFont="1" applyFill="1" applyBorder="1" applyAlignment="1">
      <alignment horizontal="center" wrapText="1"/>
    </xf>
    <xf numFmtId="0" fontId="3" fillId="20" borderId="91" xfId="0" applyFont="1" applyFill="1" applyBorder="1" applyAlignment="1">
      <alignment horizontal="left"/>
    </xf>
    <xf numFmtId="0" fontId="3" fillId="20" borderId="89" xfId="0" applyFont="1" applyFill="1" applyBorder="1" applyAlignment="1">
      <alignment horizontal="left"/>
    </xf>
    <xf numFmtId="0" fontId="3" fillId="20" borderId="95" xfId="0" applyFont="1" applyFill="1" applyBorder="1" applyAlignment="1">
      <alignment horizontal="left"/>
    </xf>
    <xf numFmtId="165" fontId="4" fillId="5" borderId="95" xfId="0" applyNumberFormat="1" applyFont="1" applyFill="1" applyBorder="1" applyAlignment="1">
      <alignment vertical="center"/>
    </xf>
    <xf numFmtId="0" fontId="3" fillId="20" borderId="91" xfId="0" applyFont="1" applyFill="1" applyBorder="1" applyAlignment="1">
      <alignment horizontal="center"/>
    </xf>
    <xf numFmtId="165" fontId="3" fillId="5" borderId="90" xfId="0" applyNumberFormat="1" applyFont="1" applyFill="1" applyBorder="1" applyAlignment="1">
      <alignment horizontal="center" vertical="center"/>
    </xf>
    <xf numFmtId="165" fontId="3" fillId="5" borderId="85" xfId="0" applyNumberFormat="1" applyFont="1" applyFill="1" applyBorder="1" applyAlignment="1">
      <alignment horizontal="center" vertical="center"/>
    </xf>
    <xf numFmtId="0" fontId="3" fillId="20" borderId="91" xfId="0" quotePrefix="1" applyFont="1" applyFill="1" applyBorder="1" applyAlignment="1">
      <alignment horizontal="center"/>
    </xf>
    <xf numFmtId="0" fontId="3" fillId="20" borderId="85" xfId="0" applyFont="1" applyFill="1" applyBorder="1" applyAlignment="1">
      <alignment horizontal="center"/>
    </xf>
    <xf numFmtId="0" fontId="3" fillId="20" borderId="89" xfId="0" applyFont="1" applyFill="1" applyBorder="1" applyAlignment="1">
      <alignment horizontal="center"/>
    </xf>
    <xf numFmtId="0" fontId="3" fillId="20" borderId="95" xfId="0" applyFont="1" applyFill="1" applyBorder="1" applyAlignment="1">
      <alignment horizontal="center"/>
    </xf>
    <xf numFmtId="165" fontId="3" fillId="5" borderId="93" xfId="0" applyNumberFormat="1" applyFont="1" applyFill="1" applyBorder="1" applyAlignment="1">
      <alignment horizontal="center" vertical="center"/>
    </xf>
    <xf numFmtId="165" fontId="3" fillId="5" borderId="97" xfId="0" applyNumberFormat="1" applyFont="1" applyFill="1" applyBorder="1" applyAlignment="1">
      <alignment horizontal="center" vertical="center"/>
    </xf>
    <xf numFmtId="2" fontId="3" fillId="20" borderId="90" xfId="0" applyNumberFormat="1" applyFont="1" applyFill="1" applyBorder="1" applyAlignment="1">
      <alignment horizontal="center"/>
    </xf>
    <xf numFmtId="0" fontId="29" fillId="13" borderId="91" xfId="0" applyFont="1" applyFill="1" applyBorder="1" applyAlignment="1">
      <alignment horizontal="left" vertical="top" wrapText="1"/>
    </xf>
    <xf numFmtId="168" fontId="29" fillId="13" borderId="89" xfId="0" applyNumberFormat="1" applyFont="1" applyFill="1" applyBorder="1" applyAlignment="1">
      <alignment horizontal="left" vertical="top" wrapText="1"/>
    </xf>
    <xf numFmtId="168" fontId="29" fillId="13" borderId="95" xfId="0" applyNumberFormat="1" applyFont="1" applyFill="1" applyBorder="1" applyAlignment="1">
      <alignment horizontal="center" vertical="center" wrapText="1"/>
    </xf>
    <xf numFmtId="0" fontId="20" fillId="0" borderId="90" xfId="0" applyFont="1" applyBorder="1" applyAlignment="1">
      <alignment horizontal="center" vertical="center" wrapText="1"/>
    </xf>
    <xf numFmtId="165" fontId="4" fillId="4" borderId="100" xfId="0" applyNumberFormat="1" applyFont="1" applyFill="1" applyBorder="1" applyAlignment="1">
      <alignment horizontal="left"/>
    </xf>
    <xf numFmtId="165" fontId="3" fillId="4" borderId="100" xfId="0" applyNumberFormat="1" applyFont="1" applyFill="1" applyBorder="1" applyAlignment="1">
      <alignment horizontal="left"/>
    </xf>
    <xf numFmtId="165" fontId="3" fillId="4" borderId="100" xfId="0" applyNumberFormat="1" applyFont="1" applyFill="1" applyBorder="1"/>
    <xf numFmtId="0" fontId="4" fillId="5" borderId="100" xfId="0" applyFont="1" applyFill="1" applyBorder="1"/>
    <xf numFmtId="165" fontId="4" fillId="12" borderId="100" xfId="0" applyNumberFormat="1" applyFont="1" applyFill="1" applyBorder="1" applyAlignment="1">
      <alignment horizontal="left"/>
    </xf>
    <xf numFmtId="165" fontId="4" fillId="0" borderId="100" xfId="0" applyNumberFormat="1" applyFont="1" applyBorder="1" applyAlignment="1">
      <alignment horizontal="left"/>
    </xf>
    <xf numFmtId="173" fontId="4" fillId="4" borderId="100" xfId="0" applyNumberFormat="1" applyFont="1" applyFill="1" applyBorder="1" applyAlignment="1">
      <alignment wrapText="1"/>
    </xf>
    <xf numFmtId="3" fontId="4" fillId="4" borderId="100" xfId="0" applyNumberFormat="1" applyFont="1" applyFill="1" applyBorder="1" applyAlignment="1">
      <alignment wrapText="1"/>
    </xf>
    <xf numFmtId="3" fontId="4" fillId="4" borderId="100" xfId="0" applyNumberFormat="1" applyFont="1" applyFill="1" applyBorder="1"/>
    <xf numFmtId="165" fontId="4" fillId="0" borderId="100" xfId="0" applyNumberFormat="1" applyFont="1" applyBorder="1"/>
    <xf numFmtId="173" fontId="4" fillId="4" borderId="100" xfId="0" applyNumberFormat="1" applyFont="1" applyFill="1" applyBorder="1" applyAlignment="1">
      <alignment horizontal="right"/>
    </xf>
    <xf numFmtId="165" fontId="4" fillId="0" borderId="100" xfId="0" applyNumberFormat="1" applyFont="1" applyBorder="1" applyAlignment="1">
      <alignment horizontal="left" vertical="center"/>
    </xf>
    <xf numFmtId="0" fontId="4" fillId="0" borderId="100" xfId="0" applyFont="1" applyBorder="1" applyAlignment="1">
      <alignment horizontal="left" vertical="top"/>
    </xf>
    <xf numFmtId="173" fontId="4" fillId="4" borderId="100" xfId="0" applyNumberFormat="1" applyFont="1" applyFill="1" applyBorder="1"/>
    <xf numFmtId="173" fontId="4" fillId="4" borderId="100" xfId="0" applyNumberFormat="1" applyFont="1" applyFill="1" applyBorder="1" applyAlignment="1">
      <alignment horizontal="right" wrapText="1"/>
    </xf>
    <xf numFmtId="3" fontId="4" fillId="4" borderId="100" xfId="0" applyNumberFormat="1" applyFont="1" applyFill="1" applyBorder="1" applyAlignment="1">
      <alignment horizontal="right"/>
    </xf>
    <xf numFmtId="169" fontId="4" fillId="5" borderId="100" xfId="0" applyNumberFormat="1" applyFont="1" applyFill="1" applyBorder="1" applyAlignment="1">
      <alignment horizontal="right"/>
    </xf>
    <xf numFmtId="169" fontId="4" fillId="4" borderId="100" xfId="0" applyNumberFormat="1" applyFont="1" applyFill="1" applyBorder="1"/>
    <xf numFmtId="1" fontId="4" fillId="5" borderId="100" xfId="0" applyNumberFormat="1" applyFont="1" applyFill="1" applyBorder="1" applyAlignment="1">
      <alignment horizontal="right"/>
    </xf>
    <xf numFmtId="0" fontId="4" fillId="8" borderId="100" xfId="0" applyFont="1" applyFill="1" applyBorder="1"/>
    <xf numFmtId="0" fontId="3" fillId="2" borderId="101" xfId="0" applyFont="1" applyFill="1" applyBorder="1" applyAlignment="1" applyProtection="1">
      <alignment horizontal="center" vertical="center"/>
      <protection locked="0"/>
    </xf>
    <xf numFmtId="3" fontId="3" fillId="2" borderId="101" xfId="0" applyNumberFormat="1" applyFont="1" applyFill="1" applyBorder="1" applyAlignment="1" applyProtection="1">
      <alignment horizontal="center" vertical="center"/>
      <protection locked="0"/>
    </xf>
    <xf numFmtId="1" fontId="3" fillId="2" borderId="100" xfId="0" applyNumberFormat="1" applyFont="1" applyFill="1" applyBorder="1" applyAlignment="1" applyProtection="1">
      <alignment horizontal="center"/>
      <protection locked="0"/>
    </xf>
    <xf numFmtId="0" fontId="3" fillId="3" borderId="100" xfId="0" applyFont="1" applyFill="1" applyBorder="1" applyAlignment="1" applyProtection="1">
      <alignment horizontal="center"/>
      <protection locked="0"/>
    </xf>
    <xf numFmtId="170" fontId="4" fillId="2" borderId="100" xfId="1" applyNumberFormat="1" applyFont="1" applyFill="1" applyBorder="1" applyAlignment="1" applyProtection="1">
      <alignment vertical="top" wrapText="1"/>
      <protection locked="0"/>
    </xf>
    <xf numFmtId="170" fontId="4" fillId="2" borderId="101" xfId="1" applyNumberFormat="1" applyFont="1" applyFill="1" applyBorder="1" applyAlignment="1" applyProtection="1">
      <alignment vertical="top" wrapText="1"/>
      <protection locked="0"/>
    </xf>
    <xf numFmtId="0" fontId="4" fillId="4" borderId="100" xfId="0" applyFont="1" applyFill="1" applyBorder="1" applyAlignment="1">
      <alignment horizontal="center" vertical="center"/>
    </xf>
    <xf numFmtId="0" fontId="4" fillId="4" borderId="101" xfId="0" applyFont="1" applyFill="1" applyBorder="1" applyAlignment="1">
      <alignment horizontal="center" vertical="center" wrapText="1"/>
    </xf>
    <xf numFmtId="0" fontId="3" fillId="2" borderId="100" xfId="0" applyFont="1" applyFill="1" applyBorder="1" applyAlignment="1" applyProtection="1">
      <alignment horizontal="center"/>
      <protection locked="0"/>
    </xf>
    <xf numFmtId="0" fontId="3" fillId="2" borderId="101" xfId="0" applyFont="1" applyFill="1" applyBorder="1" applyAlignment="1" applyProtection="1">
      <alignment horizontal="center"/>
      <protection locked="0"/>
    </xf>
    <xf numFmtId="0" fontId="3" fillId="2" borderId="100" xfId="0" applyFont="1" applyFill="1" applyBorder="1" applyAlignment="1" applyProtection="1">
      <alignment horizontal="center" vertical="center"/>
      <protection locked="0"/>
    </xf>
    <xf numFmtId="0" fontId="3" fillId="3" borderId="100" xfId="0" applyFont="1" applyFill="1" applyBorder="1" applyAlignment="1" applyProtection="1">
      <alignment horizontal="center" vertical="center"/>
      <protection locked="0"/>
    </xf>
    <xf numFmtId="0" fontId="4" fillId="0" borderId="100" xfId="0" applyFont="1" applyBorder="1" applyAlignment="1">
      <alignment horizontal="center"/>
    </xf>
    <xf numFmtId="0" fontId="3" fillId="0" borderId="100" xfId="0" applyFont="1" applyBorder="1" applyAlignment="1">
      <alignment horizontal="center" vertical="center"/>
    </xf>
    <xf numFmtId="2" fontId="3" fillId="2" borderId="100" xfId="0" applyNumberFormat="1" applyFont="1" applyFill="1" applyBorder="1" applyAlignment="1" applyProtection="1">
      <alignment horizontal="center" vertical="center"/>
      <protection locked="0"/>
    </xf>
    <xf numFmtId="2" fontId="3" fillId="3" borderId="100" xfId="0" applyNumberFormat="1" applyFont="1" applyFill="1" applyBorder="1" applyAlignment="1" applyProtection="1">
      <alignment horizontal="center" vertical="center"/>
      <protection locked="0"/>
    </xf>
    <xf numFmtId="0" fontId="3" fillId="3" borderId="100" xfId="0" applyFont="1" applyFill="1" applyBorder="1" applyProtection="1">
      <protection locked="0"/>
    </xf>
    <xf numFmtId="0" fontId="3" fillId="4" borderId="100" xfId="0" applyFont="1" applyFill="1" applyBorder="1" applyAlignment="1">
      <alignment horizontal="center"/>
    </xf>
    <xf numFmtId="0" fontId="3" fillId="4" borderId="101" xfId="0" applyFont="1" applyFill="1" applyBorder="1" applyAlignment="1">
      <alignment horizontal="center"/>
    </xf>
    <xf numFmtId="3" fontId="3" fillId="3" borderId="100" xfId="0" applyNumberFormat="1" applyFont="1" applyFill="1" applyBorder="1" applyAlignment="1" applyProtection="1">
      <alignment horizontal="center" vertical="center" wrapText="1"/>
      <protection locked="0"/>
    </xf>
    <xf numFmtId="3" fontId="3" fillId="3" borderId="100" xfId="0" applyNumberFormat="1" applyFont="1" applyFill="1" applyBorder="1" applyAlignment="1" applyProtection="1">
      <alignment horizontal="center"/>
      <protection locked="0"/>
    </xf>
    <xf numFmtId="0" fontId="3" fillId="5" borderId="101" xfId="1" applyNumberFormat="1" applyFont="1" applyFill="1" applyBorder="1" applyAlignment="1" applyProtection="1">
      <alignment horizontal="center" vertical="center" wrapText="1"/>
    </xf>
    <xf numFmtId="170" fontId="3" fillId="2" borderId="100" xfId="1" applyNumberFormat="1" applyFont="1" applyFill="1" applyBorder="1" applyAlignment="1" applyProtection="1">
      <alignment horizontal="center" vertical="center" wrapText="1"/>
      <protection locked="0"/>
    </xf>
    <xf numFmtId="0" fontId="3" fillId="2" borderId="101" xfId="0" applyFont="1" applyFill="1" applyBorder="1" applyAlignment="1" applyProtection="1">
      <alignment horizontal="center" vertical="center" wrapText="1"/>
      <protection locked="0"/>
    </xf>
    <xf numFmtId="0" fontId="3" fillId="0" borderId="101" xfId="0" applyFont="1" applyBorder="1" applyAlignment="1">
      <alignment horizontal="center" vertical="center" wrapText="1"/>
    </xf>
    <xf numFmtId="0" fontId="3" fillId="11" borderId="101" xfId="0" applyFont="1" applyFill="1" applyBorder="1" applyAlignment="1" applyProtection="1">
      <alignment horizontal="center" vertical="center"/>
      <protection locked="0"/>
    </xf>
    <xf numFmtId="2" fontId="3" fillId="2" borderId="100" xfId="0" applyNumberFormat="1" applyFont="1" applyFill="1" applyBorder="1" applyAlignment="1" applyProtection="1">
      <alignment horizontal="center"/>
      <protection locked="0"/>
    </xf>
    <xf numFmtId="0" fontId="4" fillId="5" borderId="100" xfId="0" applyFont="1" applyFill="1" applyBorder="1" applyAlignment="1">
      <alignment horizontal="left"/>
    </xf>
    <xf numFmtId="0" fontId="4" fillId="5" borderId="101" xfId="0" applyFont="1" applyFill="1" applyBorder="1" applyAlignment="1">
      <alignment horizontal="center" wrapText="1"/>
    </xf>
    <xf numFmtId="0" fontId="3" fillId="7" borderId="100" xfId="0" applyFont="1" applyFill="1" applyBorder="1" applyAlignment="1">
      <alignment horizontal="center" wrapText="1"/>
    </xf>
    <xf numFmtId="165" fontId="3" fillId="5" borderId="100" xfId="0" applyNumberFormat="1" applyFont="1" applyFill="1" applyBorder="1" applyAlignment="1">
      <alignment horizontal="center"/>
    </xf>
    <xf numFmtId="165" fontId="3" fillId="4" borderId="100" xfId="0" applyNumberFormat="1" applyFont="1" applyFill="1" applyBorder="1" applyAlignment="1">
      <alignment horizontal="center"/>
    </xf>
    <xf numFmtId="3" fontId="3" fillId="5" borderId="100" xfId="0" applyNumberFormat="1" applyFont="1" applyFill="1" applyBorder="1" applyAlignment="1">
      <alignment horizontal="center"/>
    </xf>
    <xf numFmtId="0" fontId="3" fillId="7" borderId="86" xfId="0" applyFont="1" applyFill="1" applyBorder="1" applyAlignment="1">
      <alignment horizontal="center" wrapText="1"/>
    </xf>
    <xf numFmtId="165" fontId="3" fillId="5" borderId="86" xfId="0" applyNumberFormat="1" applyFont="1" applyFill="1" applyBorder="1" applyAlignment="1">
      <alignment horizontal="center"/>
    </xf>
    <xf numFmtId="165" fontId="3" fillId="4" borderId="86" xfId="0" applyNumberFormat="1" applyFont="1" applyFill="1" applyBorder="1" applyAlignment="1">
      <alignment horizontal="center"/>
    </xf>
    <xf numFmtId="3" fontId="3" fillId="5" borderId="86" xfId="0" applyNumberFormat="1" applyFont="1" applyFill="1" applyBorder="1" applyAlignment="1">
      <alignment horizontal="center"/>
    </xf>
    <xf numFmtId="165" fontId="3" fillId="5" borderId="100" xfId="0" applyNumberFormat="1" applyFont="1" applyFill="1" applyBorder="1"/>
    <xf numFmtId="165" fontId="3" fillId="5" borderId="101" xfId="0" applyNumberFormat="1" applyFont="1" applyFill="1" applyBorder="1"/>
    <xf numFmtId="165" fontId="3" fillId="5" borderId="86" xfId="0" applyNumberFormat="1" applyFont="1" applyFill="1" applyBorder="1"/>
    <xf numFmtId="165" fontId="3" fillId="4" borderId="86" xfId="0" applyNumberFormat="1" applyFont="1" applyFill="1" applyBorder="1"/>
    <xf numFmtId="0" fontId="3" fillId="21" borderId="100" xfId="0" applyFont="1" applyFill="1" applyBorder="1" applyAlignment="1">
      <alignment horizontal="center" wrapText="1"/>
    </xf>
    <xf numFmtId="0" fontId="3" fillId="21" borderId="86" xfId="0" applyFont="1" applyFill="1" applyBorder="1" applyAlignment="1">
      <alignment horizontal="center" wrapText="1"/>
    </xf>
    <xf numFmtId="0" fontId="4" fillId="8" borderId="100" xfId="0" applyFont="1" applyFill="1" applyBorder="1" applyAlignment="1">
      <alignment horizontal="left"/>
    </xf>
    <xf numFmtId="0" fontId="3" fillId="20" borderId="100" xfId="0" applyFont="1" applyFill="1" applyBorder="1"/>
    <xf numFmtId="0" fontId="3" fillId="5" borderId="100" xfId="0" applyFont="1" applyFill="1" applyBorder="1"/>
    <xf numFmtId="0" fontId="4" fillId="20" borderId="100" xfId="0" applyFont="1" applyFill="1" applyBorder="1" applyAlignment="1">
      <alignment horizontal="left"/>
    </xf>
    <xf numFmtId="0" fontId="3" fillId="20" borderId="100" xfId="0" applyFont="1" applyFill="1" applyBorder="1" applyAlignment="1">
      <alignment horizontal="left"/>
    </xf>
    <xf numFmtId="0" fontId="3" fillId="7" borderId="101" xfId="0" applyFont="1" applyFill="1" applyBorder="1" applyAlignment="1">
      <alignment horizontal="center"/>
    </xf>
    <xf numFmtId="165" fontId="4" fillId="5" borderId="100" xfId="0" applyNumberFormat="1" applyFont="1" applyFill="1" applyBorder="1" applyAlignment="1">
      <alignment vertical="center"/>
    </xf>
    <xf numFmtId="0" fontId="4" fillId="0" borderId="100" xfId="0" applyFont="1" applyBorder="1" applyAlignment="1">
      <alignment horizontal="left"/>
    </xf>
    <xf numFmtId="165" fontId="4" fillId="20" borderId="100" xfId="0" applyNumberFormat="1" applyFont="1" applyFill="1" applyBorder="1" applyAlignment="1">
      <alignment horizontal="center"/>
    </xf>
    <xf numFmtId="165" fontId="3" fillId="5" borderId="101" xfId="0" applyNumberFormat="1" applyFont="1" applyFill="1" applyBorder="1" applyAlignment="1">
      <alignment horizontal="center" vertical="center"/>
    </xf>
    <xf numFmtId="0" fontId="3" fillId="2" borderId="102" xfId="0" applyFont="1" applyFill="1" applyBorder="1" applyAlignment="1" applyProtection="1">
      <alignment vertical="top" wrapText="1"/>
      <protection locked="0"/>
    </xf>
    <xf numFmtId="0" fontId="3" fillId="2" borderId="102" xfId="0" applyFont="1" applyFill="1" applyBorder="1" applyAlignment="1" applyProtection="1">
      <alignment horizontal="center" vertical="top" wrapText="1"/>
      <protection locked="0"/>
    </xf>
    <xf numFmtId="4" fontId="3" fillId="2" borderId="102" xfId="0" applyNumberFormat="1" applyFont="1" applyFill="1" applyBorder="1" applyAlignment="1" applyProtection="1">
      <alignment horizontal="center" wrapText="1"/>
      <protection locked="0"/>
    </xf>
    <xf numFmtId="0" fontId="3" fillId="20" borderId="102" xfId="0" applyFont="1" applyFill="1" applyBorder="1" applyAlignment="1">
      <alignment horizontal="center"/>
    </xf>
    <xf numFmtId="165" fontId="3" fillId="5" borderId="102" xfId="0" applyNumberFormat="1" applyFont="1" applyFill="1" applyBorder="1" applyAlignment="1">
      <alignment horizontal="center" vertical="center"/>
    </xf>
    <xf numFmtId="0" fontId="29" fillId="13" borderId="103" xfId="0" applyFont="1" applyFill="1" applyBorder="1" applyAlignment="1">
      <alignment horizontal="center" vertical="center" wrapText="1"/>
    </xf>
    <xf numFmtId="0" fontId="20" fillId="0" borderId="104" xfId="0" applyFont="1" applyBorder="1" applyAlignment="1">
      <alignment horizontal="center" vertical="center" wrapText="1"/>
    </xf>
    <xf numFmtId="168" fontId="29" fillId="13" borderId="103" xfId="0" applyNumberFormat="1" applyFont="1" applyFill="1" applyBorder="1" applyAlignment="1">
      <alignment horizontal="center" vertical="center" wrapText="1"/>
    </xf>
    <xf numFmtId="0" fontId="3" fillId="0" borderId="103" xfId="0" applyFont="1" applyBorder="1"/>
    <xf numFmtId="165" fontId="3" fillId="5" borderId="11" xfId="0" applyNumberFormat="1" applyFont="1" applyFill="1" applyBorder="1" applyAlignment="1">
      <alignment horizontal="right"/>
    </xf>
    <xf numFmtId="0" fontId="3" fillId="14" borderId="0" xfId="0" applyFont="1" applyFill="1"/>
    <xf numFmtId="165" fontId="4" fillId="0" borderId="105" xfId="0" applyNumberFormat="1" applyFont="1" applyBorder="1"/>
    <xf numFmtId="165" fontId="4" fillId="0" borderId="106" xfId="0" applyNumberFormat="1" applyFont="1" applyBorder="1"/>
    <xf numFmtId="14" fontId="4" fillId="4" borderId="30" xfId="0" applyNumberFormat="1" applyFont="1" applyFill="1" applyBorder="1" applyAlignment="1">
      <alignment horizontal="center"/>
    </xf>
    <xf numFmtId="167" fontId="22" fillId="13" borderId="0" xfId="0" applyNumberFormat="1" applyFont="1" applyFill="1" applyAlignment="1">
      <alignment horizontal="left" vertical="top" wrapText="1"/>
    </xf>
    <xf numFmtId="0" fontId="4" fillId="0" borderId="0" xfId="0" applyFont="1" applyAlignment="1">
      <alignment horizontal="left" wrapText="1"/>
    </xf>
    <xf numFmtId="49" fontId="3" fillId="2" borderId="85" xfId="0" applyNumberFormat="1" applyFont="1" applyFill="1" applyBorder="1" applyAlignment="1">
      <alignment horizontal="left" vertical="center" wrapText="1" indent="1"/>
    </xf>
    <xf numFmtId="49" fontId="3" fillId="11" borderId="85" xfId="0" applyNumberFormat="1" applyFont="1" applyFill="1" applyBorder="1" applyAlignment="1">
      <alignment horizontal="left" vertical="center" wrapText="1" indent="1"/>
    </xf>
    <xf numFmtId="49" fontId="3" fillId="6" borderId="85" xfId="0" applyNumberFormat="1" applyFont="1" applyFill="1" applyBorder="1" applyAlignment="1">
      <alignment horizontal="left" vertical="center" wrapText="1" indent="1"/>
    </xf>
    <xf numFmtId="49" fontId="3" fillId="4" borderId="85" xfId="0" applyNumberFormat="1" applyFont="1" applyFill="1" applyBorder="1" applyAlignment="1">
      <alignment horizontal="left" vertical="center" wrapText="1" indent="1"/>
    </xf>
    <xf numFmtId="49" fontId="3" fillId="7" borderId="85" xfId="0" applyNumberFormat="1" applyFont="1" applyFill="1" applyBorder="1" applyAlignment="1">
      <alignment horizontal="left" vertical="center" wrapText="1" indent="1"/>
    </xf>
    <xf numFmtId="49" fontId="3" fillId="5" borderId="85" xfId="0" applyNumberFormat="1" applyFont="1" applyFill="1" applyBorder="1" applyAlignment="1">
      <alignment horizontal="left" vertical="center" wrapText="1" indent="1"/>
    </xf>
    <xf numFmtId="49" fontId="3" fillId="12" borderId="85" xfId="0" applyNumberFormat="1" applyFont="1" applyFill="1" applyBorder="1" applyAlignment="1">
      <alignment horizontal="left" vertical="center" wrapText="1" indent="1"/>
    </xf>
    <xf numFmtId="49" fontId="3" fillId="9" borderId="85" xfId="0" applyNumberFormat="1" applyFont="1" applyFill="1" applyBorder="1" applyAlignment="1">
      <alignment horizontal="left" vertical="center" wrapText="1" indent="1"/>
    </xf>
    <xf numFmtId="49" fontId="3" fillId="8" borderId="85" xfId="0" applyNumberFormat="1" applyFont="1" applyFill="1" applyBorder="1" applyAlignment="1">
      <alignment horizontal="left" vertical="center" wrapText="1" indent="1"/>
    </xf>
    <xf numFmtId="0" fontId="50" fillId="0" borderId="0" xfId="0" applyFont="1" applyAlignment="1">
      <alignment wrapText="1"/>
    </xf>
    <xf numFmtId="0" fontId="51" fillId="0" borderId="81" xfId="0" applyFont="1" applyBorder="1" applyAlignment="1">
      <alignment horizontal="left" vertical="center" wrapText="1"/>
    </xf>
    <xf numFmtId="0" fontId="12" fillId="0" borderId="81" xfId="0" applyFont="1" applyBorder="1" applyAlignment="1">
      <alignment horizontal="left" vertical="center" wrapText="1"/>
    </xf>
    <xf numFmtId="0" fontId="12" fillId="0" borderId="81" xfId="0" applyFont="1" applyBorder="1" applyAlignment="1">
      <alignment vertical="center" wrapText="1"/>
    </xf>
    <xf numFmtId="0" fontId="10" fillId="0" borderId="81" xfId="0" applyFont="1" applyBorder="1" applyAlignment="1">
      <alignment horizontal="left" wrapText="1" indent="1"/>
    </xf>
    <xf numFmtId="0" fontId="12" fillId="0" borderId="81" xfId="0" applyFont="1" applyBorder="1" applyAlignment="1">
      <alignment wrapText="1"/>
    </xf>
    <xf numFmtId="0" fontId="10" fillId="0" borderId="81" xfId="0" applyFont="1" applyBorder="1" applyAlignment="1">
      <alignment wrapText="1"/>
    </xf>
    <xf numFmtId="49" fontId="10" fillId="8" borderId="81" xfId="0" applyNumberFormat="1" applyFont="1" applyFill="1" applyBorder="1" applyAlignment="1">
      <alignment horizontal="left" vertical="center" wrapText="1" indent="1"/>
    </xf>
    <xf numFmtId="0" fontId="10" fillId="22" borderId="0" xfId="0" applyFont="1" applyFill="1" applyAlignment="1">
      <alignment vertical="top" wrapText="1"/>
    </xf>
    <xf numFmtId="49" fontId="10" fillId="2" borderId="107" xfId="0" applyNumberFormat="1" applyFont="1" applyFill="1" applyBorder="1" applyAlignment="1">
      <alignment horizontal="left" vertical="center" wrapText="1" indent="1"/>
    </xf>
    <xf numFmtId="49" fontId="10" fillId="11" borderId="107" xfId="0" applyNumberFormat="1" applyFont="1" applyFill="1" applyBorder="1" applyAlignment="1">
      <alignment horizontal="left" vertical="center" wrapText="1" indent="1"/>
    </xf>
    <xf numFmtId="49" fontId="10" fillId="6" borderId="107" xfId="0" applyNumberFormat="1" applyFont="1" applyFill="1" applyBorder="1" applyAlignment="1">
      <alignment horizontal="left" vertical="center" wrapText="1" indent="1"/>
    </xf>
    <xf numFmtId="49" fontId="10" fillId="4" borderId="107" xfId="0" applyNumberFormat="1" applyFont="1" applyFill="1" applyBorder="1" applyAlignment="1">
      <alignment horizontal="left" vertical="center" wrapText="1" indent="1"/>
    </xf>
    <xf numFmtId="49" fontId="10" fillId="7" borderId="107" xfId="0" applyNumberFormat="1" applyFont="1" applyFill="1" applyBorder="1" applyAlignment="1">
      <alignment horizontal="left" vertical="center" wrapText="1" indent="1"/>
    </xf>
    <xf numFmtId="49" fontId="10" fillId="5" borderId="107" xfId="0" applyNumberFormat="1" applyFont="1" applyFill="1" applyBorder="1" applyAlignment="1">
      <alignment horizontal="left" vertical="center" wrapText="1" indent="1"/>
    </xf>
    <xf numFmtId="49" fontId="10" fillId="12" borderId="107" xfId="0" applyNumberFormat="1" applyFont="1" applyFill="1" applyBorder="1" applyAlignment="1">
      <alignment horizontal="left" vertical="center" wrapText="1" indent="1"/>
    </xf>
    <xf numFmtId="49" fontId="10" fillId="9" borderId="107" xfId="0" applyNumberFormat="1" applyFont="1" applyFill="1" applyBorder="1" applyAlignment="1">
      <alignment horizontal="left" vertical="center" wrapText="1" indent="1"/>
    </xf>
    <xf numFmtId="0" fontId="2" fillId="0" borderId="81" xfId="0" applyFont="1" applyBorder="1" applyAlignment="1">
      <alignment horizontal="left" vertical="center" wrapText="1"/>
    </xf>
    <xf numFmtId="0" fontId="56" fillId="0" borderId="0" xfId="0" applyFont="1" applyAlignment="1">
      <alignment horizontal="left" vertical="center" wrapText="1" indent="1"/>
    </xf>
    <xf numFmtId="0" fontId="56" fillId="0" borderId="0" xfId="0" applyFont="1" applyAlignment="1">
      <alignment horizontal="left"/>
    </xf>
    <xf numFmtId="0" fontId="56" fillId="0" borderId="55" xfId="0" applyFont="1" applyBorder="1" applyAlignment="1">
      <alignment horizontal="left"/>
    </xf>
    <xf numFmtId="0" fontId="56" fillId="0" borderId="0" xfId="0" applyFont="1" applyAlignment="1">
      <alignment horizontal="left" vertical="center"/>
    </xf>
    <xf numFmtId="0" fontId="56" fillId="0" borderId="0" xfId="0" applyFont="1" applyAlignment="1">
      <alignment vertical="center"/>
    </xf>
    <xf numFmtId="0" fontId="3" fillId="23" borderId="50" xfId="0" applyFont="1" applyFill="1" applyBorder="1" applyAlignment="1" applyProtection="1">
      <alignment horizontal="center" vertical="center" wrapText="1"/>
      <protection locked="0"/>
    </xf>
    <xf numFmtId="0" fontId="3" fillId="23" borderId="87" xfId="0" applyFont="1" applyFill="1" applyBorder="1" applyAlignment="1" applyProtection="1">
      <alignment horizontal="center" vertical="center" wrapText="1"/>
      <protection locked="0"/>
    </xf>
    <xf numFmtId="0" fontId="3" fillId="0" borderId="27" xfId="0" applyFont="1" applyBorder="1" applyAlignment="1">
      <alignment vertical="center"/>
    </xf>
    <xf numFmtId="0" fontId="4" fillId="0" borderId="89"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0" xfId="0" applyFont="1" applyBorder="1" applyAlignment="1">
      <alignment horizontal="center" vertical="center" wrapText="1"/>
    </xf>
    <xf numFmtId="175" fontId="3" fillId="0" borderId="74" xfId="0" applyNumberFormat="1" applyFont="1" applyBorder="1"/>
    <xf numFmtId="0" fontId="3" fillId="0" borderId="41" xfId="0" applyFont="1" applyBorder="1" applyAlignment="1">
      <alignment vertical="center"/>
    </xf>
    <xf numFmtId="0" fontId="3" fillId="0" borderId="38" xfId="0" applyFont="1" applyBorder="1" applyAlignment="1">
      <alignment vertical="center"/>
    </xf>
    <xf numFmtId="0" fontId="3" fillId="0" borderId="106" xfId="0" applyFont="1" applyBorder="1" applyAlignment="1">
      <alignment vertical="center" wrapText="1"/>
    </xf>
    <xf numFmtId="0" fontId="49" fillId="19" borderId="108" xfId="0" applyFont="1" applyFill="1" applyBorder="1" applyAlignment="1">
      <alignment horizontal="center" vertical="center"/>
    </xf>
    <xf numFmtId="176" fontId="3" fillId="3" borderId="104" xfId="0" applyNumberFormat="1" applyFont="1" applyFill="1" applyBorder="1" applyAlignment="1" applyProtection="1">
      <alignment horizontal="center"/>
      <protection locked="0"/>
    </xf>
    <xf numFmtId="174" fontId="3" fillId="3" borderId="45" xfId="0" applyNumberFormat="1" applyFont="1" applyFill="1" applyBorder="1" applyAlignment="1" applyProtection="1">
      <alignment horizontal="center"/>
      <protection locked="0"/>
    </xf>
    <xf numFmtId="0" fontId="3" fillId="7" borderId="109" xfId="0" applyFont="1" applyFill="1" applyBorder="1" applyAlignment="1">
      <alignment horizontal="center"/>
    </xf>
    <xf numFmtId="0" fontId="18" fillId="0" borderId="0" xfId="0" applyFont="1" applyAlignment="1" applyProtection="1">
      <alignment horizontal="left" vertical="top" wrapText="1"/>
      <protection locked="0"/>
    </xf>
    <xf numFmtId="0" fontId="50" fillId="0" borderId="0" xfId="0" applyFont="1"/>
    <xf numFmtId="0" fontId="10" fillId="0" borderId="0" xfId="0" applyFont="1" applyAlignment="1">
      <alignment horizontal="center"/>
    </xf>
    <xf numFmtId="0" fontId="50" fillId="0" borderId="0" xfId="0" applyFont="1" applyAlignment="1">
      <alignment vertical="top"/>
    </xf>
    <xf numFmtId="0" fontId="33" fillId="0" borderId="0" xfId="0" applyFont="1" applyAlignment="1">
      <alignment vertical="center"/>
    </xf>
    <xf numFmtId="0" fontId="50" fillId="0" borderId="0" xfId="0" applyFont="1" applyAlignment="1">
      <alignment vertical="center"/>
    </xf>
    <xf numFmtId="0" fontId="50" fillId="0" borderId="0" xfId="0" applyFont="1" applyAlignment="1">
      <alignment horizontal="left"/>
    </xf>
    <xf numFmtId="0" fontId="10" fillId="0" borderId="0" xfId="0" applyFont="1" applyAlignment="1">
      <alignment horizontal="left"/>
    </xf>
    <xf numFmtId="0" fontId="12" fillId="0" borderId="0" xfId="0" applyFont="1" applyAlignment="1">
      <alignment horizontal="left" vertical="center"/>
    </xf>
    <xf numFmtId="0" fontId="3" fillId="2" borderId="105" xfId="0" applyFont="1" applyFill="1" applyBorder="1" applyAlignment="1" applyProtection="1">
      <alignment horizontal="center"/>
      <protection locked="0"/>
    </xf>
    <xf numFmtId="0" fontId="3" fillId="2" borderId="86"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10" fillId="0" borderId="15"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4" fillId="0" borderId="14" xfId="0" applyFont="1" applyBorder="1" applyAlignment="1">
      <alignment horizontal="right" vertical="center" wrapText="1"/>
    </xf>
    <xf numFmtId="0" fontId="54" fillId="0" borderId="0" xfId="0" applyFont="1"/>
    <xf numFmtId="0" fontId="3" fillId="0" borderId="53" xfId="0" applyFont="1" applyBorder="1" applyAlignment="1">
      <alignment horizontal="left" vertical="center" wrapText="1"/>
    </xf>
    <xf numFmtId="0" fontId="51" fillId="0" borderId="52" xfId="0" applyFont="1" applyBorder="1" applyAlignment="1">
      <alignment horizontal="left" vertical="center" wrapText="1"/>
    </xf>
    <xf numFmtId="0" fontId="51" fillId="0" borderId="74" xfId="0" applyFont="1" applyBorder="1" applyAlignment="1">
      <alignment horizontal="left" vertical="center" wrapText="1"/>
    </xf>
    <xf numFmtId="0" fontId="3" fillId="0" borderId="116" xfId="0" applyFont="1" applyBorder="1" applyAlignment="1">
      <alignment horizontal="left" vertical="center" wrapText="1"/>
    </xf>
    <xf numFmtId="0" fontId="3" fillId="0" borderId="117" xfId="0" applyFont="1" applyBorder="1" applyAlignment="1">
      <alignment horizontal="left" vertical="center" wrapText="1"/>
    </xf>
    <xf numFmtId="0" fontId="3" fillId="0" borderId="118" xfId="0" applyFont="1" applyBorder="1" applyAlignment="1">
      <alignment horizontal="left" vertical="center" wrapText="1"/>
    </xf>
    <xf numFmtId="0" fontId="3" fillId="0" borderId="119" xfId="0" applyFont="1" applyBorder="1" applyAlignment="1">
      <alignment horizontal="left" vertical="center" wrapText="1"/>
    </xf>
    <xf numFmtId="0" fontId="3" fillId="0" borderId="120" xfId="0" applyFont="1" applyBorder="1" applyAlignment="1">
      <alignment horizontal="left" vertical="center" wrapText="1"/>
    </xf>
    <xf numFmtId="0" fontId="3" fillId="0" borderId="121" xfId="0" applyFont="1" applyBorder="1" applyAlignment="1">
      <alignment horizontal="left" vertical="center" wrapText="1"/>
    </xf>
    <xf numFmtId="0" fontId="25" fillId="7" borderId="103" xfId="0" applyFont="1" applyFill="1" applyBorder="1" applyAlignment="1">
      <alignment vertical="top" wrapText="1"/>
    </xf>
    <xf numFmtId="0" fontId="0" fillId="7" borderId="104" xfId="0" applyFill="1" applyBorder="1" applyAlignment="1">
      <alignment horizontal="center" vertical="top" wrapText="1"/>
    </xf>
    <xf numFmtId="0" fontId="22" fillId="13" borderId="103" xfId="0" applyFont="1" applyFill="1" applyBorder="1" applyAlignment="1">
      <alignment horizontal="center" vertical="center" wrapText="1"/>
    </xf>
    <xf numFmtId="0" fontId="0" fillId="0" borderId="104" xfId="0" applyBorder="1" applyAlignment="1">
      <alignment horizontal="center" vertical="top" wrapText="1"/>
    </xf>
    <xf numFmtId="0" fontId="22" fillId="13" borderId="109" xfId="0" applyFont="1" applyFill="1" applyBorder="1" applyAlignment="1">
      <alignment horizontal="center" vertical="center" wrapText="1"/>
    </xf>
    <xf numFmtId="0" fontId="0" fillId="0" borderId="108" xfId="0" applyBorder="1" applyAlignment="1">
      <alignment horizontal="center" vertical="top" wrapText="1"/>
    </xf>
    <xf numFmtId="0" fontId="0" fillId="0" borderId="103" xfId="0" applyBorder="1" applyAlignment="1">
      <alignment horizontal="center" vertical="top" wrapText="1"/>
    </xf>
    <xf numFmtId="0" fontId="3" fillId="0" borderId="103" xfId="0" applyFont="1" applyBorder="1" applyAlignment="1">
      <alignment horizontal="center" vertical="center" wrapText="1"/>
    </xf>
    <xf numFmtId="0" fontId="27" fillId="18" borderId="115" xfId="0" applyFont="1" applyFill="1" applyBorder="1" applyAlignment="1">
      <alignment vertical="center"/>
    </xf>
    <xf numFmtId="0" fontId="27" fillId="18" borderId="4" xfId="0" applyFont="1" applyFill="1" applyBorder="1" applyAlignment="1">
      <alignment vertical="center"/>
    </xf>
    <xf numFmtId="0" fontId="27" fillId="18" borderId="93" xfId="0" applyFont="1" applyFill="1" applyBorder="1" applyAlignment="1">
      <alignment vertical="center"/>
    </xf>
    <xf numFmtId="0" fontId="25" fillId="7" borderId="103" xfId="0" applyFont="1" applyFill="1" applyBorder="1" applyAlignment="1">
      <alignment vertical="top"/>
    </xf>
    <xf numFmtId="0" fontId="25" fillId="7" borderId="104" xfId="0" applyFont="1" applyFill="1" applyBorder="1" applyAlignment="1">
      <alignment vertical="top"/>
    </xf>
    <xf numFmtId="0" fontId="26" fillId="16" borderId="103" xfId="0" applyFont="1" applyFill="1" applyBorder="1" applyAlignment="1">
      <alignment horizontal="center" vertical="center" wrapText="1"/>
    </xf>
    <xf numFmtId="0" fontId="3" fillId="0" borderId="103" xfId="0" applyFont="1" applyBorder="1" applyAlignment="1">
      <alignment horizontal="center" vertical="center"/>
    </xf>
    <xf numFmtId="0" fontId="27" fillId="18" borderId="103" xfId="0" applyFont="1" applyFill="1" applyBorder="1" applyAlignment="1">
      <alignment vertical="top" wrapText="1"/>
    </xf>
    <xf numFmtId="0" fontId="27" fillId="18" borderId="103" xfId="0" applyFont="1" applyFill="1" applyBorder="1" applyAlignment="1">
      <alignment vertical="center"/>
    </xf>
    <xf numFmtId="0" fontId="27" fillId="18" borderId="104" xfId="0" applyFont="1" applyFill="1" applyBorder="1" applyAlignment="1">
      <alignment vertical="top" wrapText="1"/>
    </xf>
    <xf numFmtId="0" fontId="3" fillId="0" borderId="104" xfId="0" applyFont="1" applyBorder="1" applyAlignment="1">
      <alignment horizontal="center" vertical="center"/>
    </xf>
    <xf numFmtId="0" fontId="27" fillId="18" borderId="104" xfId="0" applyFont="1" applyFill="1" applyBorder="1" applyAlignment="1">
      <alignment vertical="center"/>
    </xf>
    <xf numFmtId="0" fontId="0" fillId="0" borderId="109" xfId="0" applyBorder="1" applyAlignment="1">
      <alignment horizontal="center" vertical="top" wrapText="1"/>
    </xf>
    <xf numFmtId="0" fontId="26" fillId="16" borderId="109" xfId="0" applyFont="1" applyFill="1" applyBorder="1" applyAlignment="1">
      <alignment horizontal="center" vertical="center" wrapText="1"/>
    </xf>
    <xf numFmtId="0" fontId="3" fillId="0" borderId="108" xfId="0" applyFont="1" applyBorder="1" applyAlignment="1">
      <alignment horizontal="center" vertical="center"/>
    </xf>
    <xf numFmtId="0" fontId="27" fillId="18" borderId="19" xfId="0" applyFont="1" applyFill="1" applyBorder="1" applyAlignment="1">
      <alignment vertical="top" wrapText="1"/>
    </xf>
    <xf numFmtId="0" fontId="68" fillId="0" borderId="0" xfId="0" applyFont="1" applyAlignment="1">
      <alignment vertical="center" wrapText="1"/>
    </xf>
    <xf numFmtId="0" fontId="68" fillId="0" borderId="0" xfId="0" applyFont="1" applyAlignment="1">
      <alignment horizontal="left" vertical="center" wrapText="1"/>
    </xf>
    <xf numFmtId="0" fontId="69" fillId="0" borderId="0" xfId="0" applyFont="1" applyAlignment="1">
      <alignment vertical="center"/>
    </xf>
    <xf numFmtId="0" fontId="66" fillId="0" borderId="103" xfId="0" applyFont="1" applyBorder="1" applyAlignment="1">
      <alignment horizontal="center" vertical="center" wrapText="1"/>
    </xf>
    <xf numFmtId="0" fontId="66" fillId="0" borderId="103" xfId="0" applyFont="1" applyBorder="1" applyAlignment="1">
      <alignment horizontal="center" wrapText="1"/>
    </xf>
    <xf numFmtId="0" fontId="68" fillId="0" borderId="103" xfId="0" applyFont="1" applyBorder="1" applyAlignment="1">
      <alignment horizontal="left" vertical="center" wrapText="1"/>
    </xf>
    <xf numFmtId="0" fontId="68" fillId="0" borderId="103" xfId="0" applyFont="1" applyBorder="1" applyAlignment="1">
      <alignment vertical="center" wrapText="1"/>
    </xf>
    <xf numFmtId="9" fontId="68" fillId="0" borderId="103" xfId="0" applyNumberFormat="1" applyFont="1" applyBorder="1" applyAlignment="1">
      <alignment horizontal="center" vertical="center" wrapText="1"/>
    </xf>
    <xf numFmtId="9" fontId="68" fillId="0" borderId="103" xfId="0" applyNumberFormat="1" applyFont="1" applyBorder="1" applyAlignment="1">
      <alignment horizontal="center" vertical="center"/>
    </xf>
    <xf numFmtId="0" fontId="76" fillId="0" borderId="103" xfId="0" applyFont="1" applyBorder="1" applyAlignment="1">
      <alignment vertical="center" wrapText="1"/>
    </xf>
    <xf numFmtId="10" fontId="68" fillId="0" borderId="0" xfId="0" applyNumberFormat="1" applyFont="1" applyAlignment="1">
      <alignment horizontal="center" vertical="center"/>
    </xf>
    <xf numFmtId="0" fontId="77" fillId="0" borderId="0" xfId="0" applyFont="1"/>
    <xf numFmtId="0" fontId="72" fillId="0" borderId="109" xfId="0" applyFont="1" applyBorder="1" applyAlignment="1">
      <alignment horizontal="center" vertical="center" wrapText="1"/>
    </xf>
    <xf numFmtId="0" fontId="68" fillId="0" borderId="19" xfId="0" applyFont="1" applyBorder="1" applyAlignment="1">
      <alignment vertical="center" wrapText="1"/>
    </xf>
    <xf numFmtId="9" fontId="68" fillId="0" borderId="19" xfId="0" applyNumberFormat="1" applyFont="1" applyBorder="1" applyAlignment="1">
      <alignment horizontal="center" vertical="center" wrapText="1"/>
    </xf>
    <xf numFmtId="9" fontId="68" fillId="0" borderId="19" xfId="0" applyNumberFormat="1" applyFont="1" applyBorder="1" applyAlignment="1">
      <alignment horizontal="center" vertical="center"/>
    </xf>
    <xf numFmtId="0" fontId="68" fillId="0" borderId="86" xfId="0" applyFont="1" applyBorder="1" applyAlignment="1">
      <alignment vertical="center" wrapText="1"/>
    </xf>
    <xf numFmtId="9" fontId="68" fillId="0" borderId="86" xfId="0" applyNumberFormat="1" applyFont="1" applyBorder="1" applyAlignment="1">
      <alignment horizontal="center" vertical="center" wrapText="1"/>
    </xf>
    <xf numFmtId="9" fontId="68" fillId="0" borderId="86" xfId="0" applyNumberFormat="1" applyFont="1" applyBorder="1" applyAlignment="1">
      <alignment horizontal="center" vertical="center"/>
    </xf>
    <xf numFmtId="9" fontId="68" fillId="0" borderId="15" xfId="0" applyNumberFormat="1" applyFont="1" applyBorder="1" applyAlignment="1">
      <alignment horizontal="center" vertical="center" wrapText="1"/>
    </xf>
    <xf numFmtId="9" fontId="68" fillId="0" borderId="15" xfId="0" applyNumberFormat="1" applyFont="1" applyBorder="1" applyAlignment="1">
      <alignment horizontal="center" vertical="center"/>
    </xf>
    <xf numFmtId="0" fontId="68" fillId="0" borderId="18" xfId="0" applyFont="1" applyBorder="1" applyAlignment="1">
      <alignment vertical="center" wrapText="1"/>
    </xf>
    <xf numFmtId="0" fontId="71" fillId="0" borderId="109" xfId="0" applyFont="1" applyBorder="1" applyAlignment="1">
      <alignment vertical="center" wrapText="1"/>
    </xf>
    <xf numFmtId="9" fontId="68" fillId="0" borderId="109" xfId="0" applyNumberFormat="1" applyFont="1" applyBorder="1" applyAlignment="1">
      <alignment horizontal="center" vertical="center"/>
    </xf>
    <xf numFmtId="0" fontId="50" fillId="0" borderId="0" xfId="0" applyFont="1" applyAlignment="1">
      <alignment horizontal="left" vertical="top"/>
    </xf>
    <xf numFmtId="0" fontId="63" fillId="7" borderId="104" xfId="0" applyFont="1" applyFill="1" applyBorder="1" applyAlignment="1">
      <alignment vertical="top" wrapText="1"/>
    </xf>
    <xf numFmtId="168" fontId="3" fillId="13" borderId="104" xfId="0" applyNumberFormat="1" applyFont="1" applyFill="1" applyBorder="1" applyAlignment="1">
      <alignment horizontal="center" vertical="center" wrapText="1"/>
    </xf>
    <xf numFmtId="168" fontId="3" fillId="7" borderId="104" xfId="0" applyNumberFormat="1" applyFont="1" applyFill="1" applyBorder="1" applyAlignment="1">
      <alignment horizontal="center" vertical="center" wrapText="1"/>
    </xf>
    <xf numFmtId="168" fontId="3" fillId="13" borderId="108" xfId="0" applyNumberFormat="1" applyFont="1" applyFill="1" applyBorder="1" applyAlignment="1">
      <alignment horizontal="center" vertical="center" wrapText="1"/>
    </xf>
    <xf numFmtId="0" fontId="22" fillId="13" borderId="111" xfId="0" applyFont="1" applyFill="1" applyBorder="1" applyAlignment="1">
      <alignment horizontal="left" vertical="center"/>
    </xf>
    <xf numFmtId="0" fontId="22" fillId="13" borderId="103" xfId="0" applyFont="1" applyFill="1" applyBorder="1" applyAlignment="1">
      <alignment horizontal="left" vertical="center"/>
    </xf>
    <xf numFmtId="0" fontId="85" fillId="0" borderId="0" xfId="0" applyFont="1" applyAlignment="1">
      <alignment vertical="top" wrapText="1"/>
    </xf>
    <xf numFmtId="9" fontId="10" fillId="0" borderId="0" xfId="0" applyNumberFormat="1" applyFont="1" applyAlignment="1">
      <alignment horizontal="center"/>
    </xf>
    <xf numFmtId="0" fontId="3" fillId="0" borderId="70" xfId="0" applyFont="1" applyBorder="1"/>
    <xf numFmtId="0" fontId="3" fillId="0" borderId="70" xfId="0" applyFont="1" applyBorder="1" applyAlignment="1">
      <alignment horizontal="center"/>
    </xf>
    <xf numFmtId="0" fontId="3" fillId="0" borderId="70" xfId="0" applyFont="1" applyBorder="1" applyAlignment="1">
      <alignment vertical="center"/>
    </xf>
    <xf numFmtId="0" fontId="86" fillId="0" borderId="0" xfId="0" applyFont="1" applyAlignment="1">
      <alignment vertical="center"/>
    </xf>
    <xf numFmtId="0" fontId="4" fillId="0" borderId="17" xfId="0" applyFont="1" applyBorder="1" applyAlignment="1">
      <alignment horizontal="center" wrapText="1"/>
    </xf>
    <xf numFmtId="0" fontId="4" fillId="0" borderId="28" xfId="0" applyFont="1" applyBorder="1" applyAlignment="1">
      <alignment horizontal="center" vertical="center" wrapText="1"/>
    </xf>
    <xf numFmtId="0" fontId="4" fillId="0" borderId="100" xfId="0" applyFont="1" applyBorder="1" applyAlignment="1">
      <alignment horizontal="center" wrapText="1"/>
    </xf>
    <xf numFmtId="0" fontId="4" fillId="8" borderId="87" xfId="0" applyFont="1" applyFill="1" applyBorder="1"/>
    <xf numFmtId="0" fontId="12" fillId="0" borderId="0" xfId="0" applyFont="1" applyAlignment="1">
      <alignment horizontal="left" vertical="center" wrapText="1"/>
    </xf>
    <xf numFmtId="0" fontId="87" fillId="0" borderId="0" xfId="0" applyFont="1" applyAlignment="1">
      <alignment vertical="center"/>
    </xf>
    <xf numFmtId="0" fontId="3" fillId="0" borderId="111" xfId="0" applyFont="1" applyBorder="1"/>
    <xf numFmtId="0" fontId="3" fillId="0" borderId="106" xfId="0" applyFont="1" applyBorder="1"/>
    <xf numFmtId="0" fontId="3" fillId="3" borderId="103" xfId="0" applyFont="1" applyFill="1" applyBorder="1" applyAlignment="1" applyProtection="1">
      <alignment horizontal="center"/>
      <protection locked="0"/>
    </xf>
    <xf numFmtId="0" fontId="12" fillId="0" borderId="11" xfId="0" applyFont="1" applyBorder="1" applyAlignment="1">
      <alignment horizontal="center" vertical="center" wrapText="1"/>
    </xf>
    <xf numFmtId="0" fontId="3" fillId="4" borderId="104" xfId="0" applyFont="1" applyFill="1" applyBorder="1" applyAlignment="1">
      <alignment horizontal="center"/>
    </xf>
    <xf numFmtId="0" fontId="3" fillId="3" borderId="109" xfId="0" applyFont="1" applyFill="1" applyBorder="1" applyAlignment="1" applyProtection="1">
      <alignment horizontal="center"/>
      <protection locked="0"/>
    </xf>
    <xf numFmtId="0" fontId="3" fillId="4" borderId="108" xfId="0" applyFont="1" applyFill="1" applyBorder="1" applyAlignment="1">
      <alignment horizontal="center"/>
    </xf>
    <xf numFmtId="0" fontId="87" fillId="0" borderId="0" xfId="0" applyFont="1" applyAlignment="1">
      <alignment horizontal="left" vertical="center" wrapText="1"/>
    </xf>
    <xf numFmtId="169" fontId="3" fillId="2" borderId="103" xfId="0" applyNumberFormat="1" applyFont="1" applyFill="1" applyBorder="1" applyAlignment="1" applyProtection="1">
      <alignment horizontal="center"/>
      <protection locked="0"/>
    </xf>
    <xf numFmtId="2" fontId="3" fillId="19" borderId="103" xfId="1" applyNumberFormat="1" applyFont="1" applyFill="1" applyBorder="1" applyAlignment="1" applyProtection="1">
      <alignment horizontal="center" vertical="center" wrapText="1"/>
    </xf>
    <xf numFmtId="0" fontId="3" fillId="2" borderId="103" xfId="0" applyFont="1" applyFill="1" applyBorder="1" applyAlignment="1" applyProtection="1">
      <alignment horizontal="center"/>
      <protection locked="0"/>
    </xf>
    <xf numFmtId="3" fontId="3" fillId="4" borderId="103" xfId="0" applyNumberFormat="1" applyFont="1" applyFill="1" applyBorder="1" applyAlignment="1">
      <alignment horizontal="center" vertical="center" wrapText="1"/>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126" xfId="0" applyFont="1" applyBorder="1" applyAlignment="1">
      <alignment horizontal="center" vertical="center" wrapText="1"/>
    </xf>
    <xf numFmtId="0" fontId="3" fillId="2" borderId="104" xfId="0" applyFont="1" applyFill="1" applyBorder="1" applyAlignment="1" applyProtection="1">
      <alignment horizontal="center"/>
      <protection locked="0"/>
    </xf>
    <xf numFmtId="169" fontId="3" fillId="2" borderId="109" xfId="0" applyNumberFormat="1" applyFont="1" applyFill="1" applyBorder="1" applyAlignment="1" applyProtection="1">
      <alignment horizontal="center"/>
      <protection locked="0"/>
    </xf>
    <xf numFmtId="2" fontId="3" fillId="19" borderId="109" xfId="1" applyNumberFormat="1" applyFont="1" applyFill="1" applyBorder="1" applyAlignment="1" applyProtection="1">
      <alignment horizontal="center" vertical="center" wrapText="1"/>
    </xf>
    <xf numFmtId="0" fontId="3" fillId="2" borderId="109" xfId="0" applyFont="1" applyFill="1" applyBorder="1" applyAlignment="1" applyProtection="1">
      <alignment horizontal="center"/>
      <protection locked="0"/>
    </xf>
    <xf numFmtId="3" fontId="3" fillId="4" borderId="109" xfId="0" applyNumberFormat="1" applyFont="1" applyFill="1" applyBorder="1" applyAlignment="1">
      <alignment horizontal="center" vertical="center" wrapText="1"/>
    </xf>
    <xf numFmtId="0" fontId="3" fillId="2" borderId="108" xfId="0" applyFont="1" applyFill="1" applyBorder="1" applyAlignment="1" applyProtection="1">
      <alignment horizontal="center"/>
      <protection locked="0"/>
    </xf>
    <xf numFmtId="0" fontId="3" fillId="4" borderId="103" xfId="0" applyFont="1" applyFill="1" applyBorder="1" applyAlignment="1">
      <alignment horizontal="center" vertical="center" wrapText="1"/>
    </xf>
    <xf numFmtId="164" fontId="3" fillId="4" borderId="103" xfId="1" applyFont="1" applyFill="1" applyBorder="1" applyAlignment="1" applyProtection="1">
      <alignment horizontal="center" vertical="center" wrapText="1"/>
    </xf>
    <xf numFmtId="0" fontId="3" fillId="2" borderId="103" xfId="0" applyFont="1" applyFill="1" applyBorder="1" applyAlignment="1" applyProtection="1">
      <alignment horizontal="center" vertical="center" wrapText="1"/>
      <protection locked="0"/>
    </xf>
    <xf numFmtId="0" fontId="4" fillId="0" borderId="125" xfId="0" applyFont="1" applyBorder="1" applyAlignment="1">
      <alignment horizontal="center" wrapText="1"/>
    </xf>
    <xf numFmtId="0" fontId="4" fillId="0" borderId="125" xfId="0" applyFont="1" applyBorder="1" applyAlignment="1">
      <alignment horizontal="center"/>
    </xf>
    <xf numFmtId="0" fontId="4" fillId="0" borderId="126" xfId="0" applyFont="1" applyBorder="1" applyAlignment="1">
      <alignment horizontal="center" wrapText="1"/>
    </xf>
    <xf numFmtId="0" fontId="3" fillId="4" borderId="111" xfId="0" applyFont="1" applyFill="1" applyBorder="1" applyAlignment="1">
      <alignment horizontal="center" vertical="center" wrapText="1"/>
    </xf>
    <xf numFmtId="164" fontId="3" fillId="5" borderId="104" xfId="1" applyFont="1" applyFill="1" applyBorder="1" applyAlignment="1" applyProtection="1">
      <alignment horizontal="center" vertical="center" wrapText="1"/>
    </xf>
    <xf numFmtId="0" fontId="3" fillId="4" borderId="106" xfId="0" applyFont="1" applyFill="1" applyBorder="1" applyAlignment="1">
      <alignment horizontal="center" vertical="center" wrapText="1"/>
    </xf>
    <xf numFmtId="164" fontId="3" fillId="4" borderId="109" xfId="1" applyFont="1" applyFill="1" applyBorder="1" applyAlignment="1" applyProtection="1">
      <alignment horizontal="center" vertical="center" wrapText="1"/>
    </xf>
    <xf numFmtId="0" fontId="3" fillId="4" borderId="109" xfId="0" applyFont="1" applyFill="1" applyBorder="1" applyAlignment="1">
      <alignment horizontal="center" vertical="center" wrapText="1"/>
    </xf>
    <xf numFmtId="0" fontId="3" fillId="2" borderId="109" xfId="0" applyFont="1" applyFill="1" applyBorder="1" applyAlignment="1" applyProtection="1">
      <alignment horizontal="center" vertical="center" wrapText="1"/>
      <protection locked="0"/>
    </xf>
    <xf numFmtId="164" fontId="3" fillId="5" borderId="108" xfId="1" applyFont="1" applyFill="1" applyBorder="1" applyAlignment="1" applyProtection="1">
      <alignment horizontal="center" vertical="center" wrapText="1"/>
    </xf>
    <xf numFmtId="0" fontId="4" fillId="0" borderId="124" xfId="0" applyFont="1" applyBorder="1" applyAlignment="1">
      <alignment horizontal="center" wrapText="1"/>
    </xf>
    <xf numFmtId="167" fontId="26" fillId="16" borderId="0" xfId="0" applyNumberFormat="1" applyFont="1" applyFill="1" applyAlignment="1">
      <alignment vertical="center"/>
    </xf>
    <xf numFmtId="0" fontId="3" fillId="0" borderId="3" xfId="0" applyFont="1" applyBorder="1"/>
    <xf numFmtId="0" fontId="4" fillId="0" borderId="27" xfId="0" applyFont="1" applyBorder="1" applyAlignment="1">
      <alignment vertical="center" wrapText="1"/>
    </xf>
    <xf numFmtId="0" fontId="4" fillId="0" borderId="12" xfId="0" applyFont="1" applyBorder="1" applyAlignment="1">
      <alignment vertical="top" wrapText="1"/>
    </xf>
    <xf numFmtId="167" fontId="26" fillId="16" borderId="5" xfId="0" applyNumberFormat="1" applyFont="1" applyFill="1" applyBorder="1" applyAlignment="1">
      <alignment vertical="center"/>
    </xf>
    <xf numFmtId="0" fontId="3" fillId="0" borderId="54" xfId="0" applyFont="1" applyBorder="1"/>
    <xf numFmtId="167" fontId="26" fillId="16" borderId="40" xfId="0" applyNumberFormat="1" applyFont="1" applyFill="1" applyBorder="1" applyAlignment="1">
      <alignment vertical="center" wrapText="1"/>
    </xf>
    <xf numFmtId="0" fontId="4" fillId="4" borderId="3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18" fillId="0" borderId="0" xfId="0" applyFont="1"/>
    <xf numFmtId="0" fontId="12" fillId="0" borderId="0" xfId="0" applyFont="1"/>
    <xf numFmtId="0" fontId="4" fillId="7" borderId="103" xfId="0" applyFont="1" applyFill="1" applyBorder="1" applyAlignment="1">
      <alignment horizontal="left"/>
    </xf>
    <xf numFmtId="0" fontId="4" fillId="0" borderId="39" xfId="0" applyFont="1" applyBorder="1" applyAlignment="1">
      <alignment horizontal="center" vertical="center" wrapText="1"/>
    </xf>
    <xf numFmtId="0" fontId="12" fillId="0" borderId="14" xfId="0" applyFont="1" applyBorder="1" applyAlignment="1">
      <alignment horizontal="center" vertical="center" wrapText="1"/>
    </xf>
    <xf numFmtId="0" fontId="4" fillId="0" borderId="37" xfId="0" applyFont="1" applyBorder="1" applyAlignment="1">
      <alignment horizontal="center" vertical="center"/>
    </xf>
    <xf numFmtId="0" fontId="4" fillId="0" borderId="100" xfId="0" applyFont="1" applyBorder="1" applyAlignment="1">
      <alignment horizontal="center" vertical="center" wrapText="1"/>
    </xf>
    <xf numFmtId="0" fontId="4" fillId="0" borderId="100" xfId="0" applyFont="1" applyBorder="1" applyAlignment="1">
      <alignment horizontal="center" vertical="center"/>
    </xf>
    <xf numFmtId="0" fontId="4" fillId="0" borderId="11" xfId="0" applyFont="1" applyBorder="1" applyAlignment="1">
      <alignment horizontal="center" vertical="center" wrapText="1"/>
    </xf>
    <xf numFmtId="0" fontId="4" fillId="2" borderId="103" xfId="0" applyFont="1" applyFill="1" applyBorder="1"/>
    <xf numFmtId="0" fontId="4" fillId="4" borderId="103" xfId="0" applyFont="1" applyFill="1" applyBorder="1" applyAlignment="1">
      <alignment horizontal="left"/>
    </xf>
    <xf numFmtId="0" fontId="4" fillId="5" borderId="103" xfId="0" applyFont="1" applyFill="1" applyBorder="1" applyAlignment="1">
      <alignment horizontal="left"/>
    </xf>
    <xf numFmtId="0" fontId="4" fillId="6" borderId="103" xfId="0" applyFont="1" applyFill="1" applyBorder="1" applyAlignment="1">
      <alignment horizontal="left"/>
    </xf>
    <xf numFmtId="0" fontId="4" fillId="8" borderId="103" xfId="0" applyFont="1" applyFill="1" applyBorder="1"/>
    <xf numFmtId="0" fontId="36" fillId="0" borderId="0" xfId="0" applyFont="1" applyAlignment="1">
      <alignment horizontal="left"/>
    </xf>
    <xf numFmtId="0" fontId="4" fillId="0" borderId="26" xfId="0" applyFont="1" applyBorder="1" applyAlignment="1">
      <alignment horizontal="center" wrapText="1"/>
    </xf>
    <xf numFmtId="165" fontId="4" fillId="5" borderId="75" xfId="0" applyNumberFormat="1" applyFont="1" applyFill="1" applyBorder="1" applyAlignment="1">
      <alignment horizontal="center"/>
    </xf>
    <xf numFmtId="165" fontId="3" fillId="0" borderId="0" xfId="0" applyNumberFormat="1" applyFont="1" applyAlignment="1">
      <alignment horizontal="center" wrapText="1"/>
    </xf>
    <xf numFmtId="0" fontId="54" fillId="0" borderId="0" xfId="0" applyFont="1" applyAlignment="1">
      <alignment vertical="center"/>
    </xf>
    <xf numFmtId="0" fontId="4" fillId="5" borderId="0" xfId="0" applyFont="1" applyFill="1" applyAlignment="1">
      <alignment horizontal="center"/>
    </xf>
    <xf numFmtId="0" fontId="4" fillId="8" borderId="103" xfId="0" applyFont="1" applyFill="1" applyBorder="1" applyAlignment="1">
      <alignment horizontal="left"/>
    </xf>
    <xf numFmtId="0" fontId="4" fillId="20" borderId="53" xfId="0" applyFont="1" applyFill="1" applyBorder="1" applyAlignment="1">
      <alignment horizontal="center"/>
    </xf>
    <xf numFmtId="0" fontId="4" fillId="20" borderId="49" xfId="0" applyFont="1" applyFill="1" applyBorder="1" applyAlignment="1">
      <alignment horizontal="center"/>
    </xf>
    <xf numFmtId="0" fontId="4" fillId="5" borderId="54" xfId="0" applyFont="1" applyFill="1" applyBorder="1" applyAlignment="1">
      <alignment horizontal="center"/>
    </xf>
    <xf numFmtId="0" fontId="4" fillId="8" borderId="52" xfId="0" applyFont="1" applyFill="1" applyBorder="1" applyAlignment="1">
      <alignment horizontal="center"/>
    </xf>
    <xf numFmtId="0" fontId="4" fillId="8" borderId="51" xfId="0" applyFont="1" applyFill="1" applyBorder="1" applyAlignment="1">
      <alignment horizontal="center"/>
    </xf>
    <xf numFmtId="0" fontId="36" fillId="0" borderId="0" xfId="0" applyFont="1" applyAlignment="1">
      <alignment horizontal="left" vertical="top"/>
    </xf>
    <xf numFmtId="0" fontId="3" fillId="5" borderId="0" xfId="0" applyFont="1" applyFill="1" applyAlignment="1">
      <alignment horizontal="left"/>
    </xf>
    <xf numFmtId="0" fontId="3" fillId="5" borderId="0" xfId="0" applyFont="1" applyFill="1"/>
    <xf numFmtId="0" fontId="4" fillId="20" borderId="48" xfId="0" applyFont="1" applyFill="1" applyBorder="1" applyAlignment="1">
      <alignment horizontal="left"/>
    </xf>
    <xf numFmtId="0" fontId="3" fillId="20" borderId="53" xfId="0" applyFont="1" applyFill="1" applyBorder="1" applyAlignment="1">
      <alignment horizontal="left"/>
    </xf>
    <xf numFmtId="2" fontId="3" fillId="20" borderId="53" xfId="0" applyNumberFormat="1" applyFont="1" applyFill="1" applyBorder="1"/>
    <xf numFmtId="2" fontId="3" fillId="20" borderId="49" xfId="0" applyNumberFormat="1" applyFont="1" applyFill="1" applyBorder="1"/>
    <xf numFmtId="0" fontId="4" fillId="5" borderId="44" xfId="0" applyFont="1" applyFill="1" applyBorder="1" applyAlignment="1">
      <alignment horizontal="left"/>
    </xf>
    <xf numFmtId="0" fontId="3" fillId="5" borderId="54" xfId="0" applyFont="1" applyFill="1" applyBorder="1"/>
    <xf numFmtId="0" fontId="4" fillId="8" borderId="50" xfId="0" applyFont="1" applyFill="1" applyBorder="1" applyAlignment="1">
      <alignment horizontal="left"/>
    </xf>
    <xf numFmtId="0" fontId="3" fillId="8" borderId="52" xfId="0" applyFont="1" applyFill="1" applyBorder="1" applyAlignment="1">
      <alignment horizontal="left"/>
    </xf>
    <xf numFmtId="0" fontId="3" fillId="8" borderId="52" xfId="0" applyFont="1" applyFill="1" applyBorder="1"/>
    <xf numFmtId="0" fontId="3" fillId="8" borderId="51" xfId="0" applyFont="1" applyFill="1" applyBorder="1"/>
    <xf numFmtId="0" fontId="4" fillId="0" borderId="103" xfId="0" applyFont="1" applyBorder="1" applyAlignment="1">
      <alignment horizontal="center" wrapText="1"/>
    </xf>
    <xf numFmtId="165" fontId="4" fillId="0" borderId="103" xfId="0" applyNumberFormat="1" applyFont="1" applyBorder="1" applyAlignment="1">
      <alignment horizontal="center"/>
    </xf>
    <xf numFmtId="0" fontId="4" fillId="20" borderId="103" xfId="0" applyFont="1" applyFill="1" applyBorder="1" applyAlignment="1">
      <alignment horizontal="center" wrapText="1"/>
    </xf>
    <xf numFmtId="165" fontId="3" fillId="20" borderId="103" xfId="0" applyNumberFormat="1" applyFont="1" applyFill="1" applyBorder="1"/>
    <xf numFmtId="165" fontId="4" fillId="0" borderId="87" xfId="0" applyNumberFormat="1" applyFont="1" applyBorder="1" applyAlignment="1">
      <alignment horizontal="center"/>
    </xf>
    <xf numFmtId="165" fontId="3" fillId="20" borderId="87" xfId="0" applyNumberFormat="1" applyFont="1" applyFill="1" applyBorder="1"/>
    <xf numFmtId="165" fontId="4" fillId="0" borderId="17" xfId="0" applyNumberFormat="1" applyFont="1" applyBorder="1" applyAlignment="1">
      <alignment horizontal="center"/>
    </xf>
    <xf numFmtId="165" fontId="4" fillId="20" borderId="46" xfId="0" applyNumberFormat="1" applyFont="1" applyFill="1" applyBorder="1"/>
    <xf numFmtId="165" fontId="4" fillId="20" borderId="107" xfId="0" applyNumberFormat="1" applyFont="1" applyFill="1" applyBorder="1"/>
    <xf numFmtId="165" fontId="4" fillId="20" borderId="102" xfId="0" applyNumberFormat="1" applyFont="1" applyFill="1" applyBorder="1"/>
    <xf numFmtId="165" fontId="4" fillId="20" borderId="87" xfId="0" applyNumberFormat="1" applyFont="1" applyFill="1" applyBorder="1" applyAlignment="1">
      <alignment horizontal="center" vertical="center"/>
    </xf>
    <xf numFmtId="165" fontId="4" fillId="20" borderId="96" xfId="0" applyNumberFormat="1" applyFont="1" applyFill="1" applyBorder="1" applyAlignment="1">
      <alignment horizontal="center" vertical="center"/>
    </xf>
    <xf numFmtId="0" fontId="4" fillId="20" borderId="111" xfId="0" applyFont="1" applyFill="1" applyBorder="1" applyAlignment="1">
      <alignment horizontal="center" wrapText="1"/>
    </xf>
    <xf numFmtId="0" fontId="4" fillId="20" borderId="106" xfId="0" applyFont="1" applyFill="1" applyBorder="1" applyAlignment="1">
      <alignment horizontal="center" wrapText="1"/>
    </xf>
    <xf numFmtId="165" fontId="4" fillId="0" borderId="43" xfId="0" applyNumberFormat="1" applyFont="1" applyBorder="1" applyAlignment="1">
      <alignment horizontal="center"/>
    </xf>
    <xf numFmtId="165" fontId="4" fillId="0" borderId="127" xfId="0" applyNumberFormat="1" applyFont="1" applyBorder="1" applyAlignment="1">
      <alignment horizontal="center"/>
    </xf>
    <xf numFmtId="165" fontId="4" fillId="20" borderId="107" xfId="0" applyNumberFormat="1" applyFont="1" applyFill="1" applyBorder="1" applyAlignment="1">
      <alignment horizontal="center" vertical="center"/>
    </xf>
    <xf numFmtId="165" fontId="4" fillId="20" borderId="102" xfId="0" applyNumberFormat="1" applyFont="1" applyFill="1" applyBorder="1" applyAlignment="1">
      <alignment horizontal="center" vertical="center"/>
    </xf>
    <xf numFmtId="0" fontId="35" fillId="0" borderId="0" xfId="0" applyFont="1" applyAlignment="1">
      <alignment vertical="center"/>
    </xf>
    <xf numFmtId="165" fontId="3" fillId="5" borderId="17" xfId="0" applyNumberFormat="1" applyFont="1" applyFill="1" applyBorder="1" applyAlignment="1">
      <alignment horizontal="center"/>
    </xf>
    <xf numFmtId="165" fontId="4" fillId="5" borderId="17" xfId="0" applyNumberFormat="1" applyFont="1" applyFill="1" applyBorder="1" applyAlignment="1">
      <alignment horizontal="center"/>
    </xf>
    <xf numFmtId="0" fontId="3" fillId="20" borderId="103" xfId="0" applyFont="1" applyFill="1" applyBorder="1" applyAlignment="1">
      <alignment horizontal="center"/>
    </xf>
    <xf numFmtId="166" fontId="3" fillId="5" borderId="103" xfId="0" applyNumberFormat="1" applyFont="1" applyFill="1" applyBorder="1" applyAlignment="1">
      <alignment horizontal="center"/>
    </xf>
    <xf numFmtId="165" fontId="3" fillId="5" borderId="103" xfId="0" applyNumberFormat="1" applyFont="1" applyFill="1" applyBorder="1" applyAlignment="1">
      <alignment horizontal="center"/>
    </xf>
    <xf numFmtId="0" fontId="3" fillId="5" borderId="103" xfId="0" applyFont="1" applyFill="1" applyBorder="1" applyAlignment="1">
      <alignment horizontal="center"/>
    </xf>
    <xf numFmtId="171" fontId="3" fillId="20" borderId="103" xfId="0" applyNumberFormat="1" applyFont="1" applyFill="1" applyBorder="1" applyAlignment="1">
      <alignment horizontal="center"/>
    </xf>
    <xf numFmtId="0" fontId="3" fillId="5" borderId="104" xfId="0" applyFont="1" applyFill="1" applyBorder="1" applyAlignment="1">
      <alignment horizontal="center"/>
    </xf>
    <xf numFmtId="0" fontId="3" fillId="20" borderId="109" xfId="0" applyFont="1" applyFill="1" applyBorder="1" applyAlignment="1">
      <alignment horizontal="center"/>
    </xf>
    <xf numFmtId="166" fontId="3" fillId="5" borderId="109" xfId="0" applyNumberFormat="1" applyFont="1" applyFill="1" applyBorder="1" applyAlignment="1">
      <alignment horizontal="center"/>
    </xf>
    <xf numFmtId="165" fontId="3" fillId="5" borderId="109" xfId="0" applyNumberFormat="1" applyFont="1" applyFill="1" applyBorder="1" applyAlignment="1">
      <alignment horizontal="center"/>
    </xf>
    <xf numFmtId="0" fontId="3" fillId="5" borderId="109" xfId="0" applyFont="1" applyFill="1" applyBorder="1" applyAlignment="1">
      <alignment horizontal="center"/>
    </xf>
    <xf numFmtId="0" fontId="3" fillId="5" borderId="108" xfId="0" applyFont="1" applyFill="1" applyBorder="1" applyAlignment="1">
      <alignment horizontal="center"/>
    </xf>
    <xf numFmtId="166" fontId="3" fillId="5" borderId="19" xfId="0" applyNumberFormat="1" applyFont="1" applyFill="1" applyBorder="1" applyAlignment="1">
      <alignment horizontal="center"/>
    </xf>
    <xf numFmtId="0" fontId="3" fillId="5" borderId="19" xfId="0" applyFont="1" applyFill="1" applyBorder="1" applyAlignment="1">
      <alignment horizontal="center"/>
    </xf>
    <xf numFmtId="0" fontId="3" fillId="5" borderId="45" xfId="0" applyFont="1" applyFill="1" applyBorder="1" applyAlignment="1">
      <alignment horizontal="center"/>
    </xf>
    <xf numFmtId="165" fontId="4" fillId="0" borderId="15" xfId="0" applyNumberFormat="1" applyFont="1" applyBorder="1" applyAlignment="1">
      <alignment horizontal="center" vertical="center" wrapText="1"/>
    </xf>
    <xf numFmtId="164" fontId="3" fillId="20" borderId="50" xfId="0" applyNumberFormat="1" applyFont="1" applyFill="1" applyBorder="1" applyAlignment="1">
      <alignment horizontal="center"/>
    </xf>
    <xf numFmtId="164" fontId="3" fillId="20" borderId="87" xfId="0" applyNumberFormat="1" applyFont="1" applyFill="1" applyBorder="1" applyAlignment="1">
      <alignment horizontal="center"/>
    </xf>
    <xf numFmtId="171" fontId="3" fillId="20" borderId="87" xfId="0" applyNumberFormat="1" applyFont="1" applyFill="1" applyBorder="1" applyAlignment="1">
      <alignment horizontal="center"/>
    </xf>
    <xf numFmtId="165" fontId="4" fillId="0" borderId="14" xfId="0" applyNumberFormat="1" applyFont="1" applyBorder="1" applyAlignment="1">
      <alignment horizontal="center" vertical="center" wrapText="1"/>
    </xf>
    <xf numFmtId="0" fontId="3" fillId="5" borderId="41" xfId="0" applyFont="1" applyFill="1" applyBorder="1" applyAlignment="1">
      <alignment horizontal="center"/>
    </xf>
    <xf numFmtId="165" fontId="3" fillId="5" borderId="111" xfId="0" applyNumberFormat="1" applyFont="1" applyFill="1" applyBorder="1" applyAlignment="1">
      <alignment horizontal="center"/>
    </xf>
    <xf numFmtId="0" fontId="4" fillId="20" borderId="86" xfId="0" applyFont="1" applyFill="1" applyBorder="1" applyAlignment="1">
      <alignment horizontal="left"/>
    </xf>
    <xf numFmtId="0" fontId="4" fillId="5" borderId="39" xfId="0" applyFont="1" applyFill="1" applyBorder="1" applyAlignment="1">
      <alignment horizontal="left"/>
    </xf>
    <xf numFmtId="0" fontId="4" fillId="8" borderId="19" xfId="0" applyFont="1" applyFill="1" applyBorder="1" applyAlignment="1">
      <alignment horizontal="left"/>
    </xf>
    <xf numFmtId="0" fontId="53" fillId="0" borderId="0" xfId="0" applyFont="1"/>
    <xf numFmtId="165" fontId="3" fillId="5" borderId="122" xfId="0" applyNumberFormat="1" applyFont="1" applyFill="1" applyBorder="1" applyAlignment="1">
      <alignment horizontal="center"/>
    </xf>
    <xf numFmtId="0" fontId="4" fillId="7" borderId="39" xfId="0" applyFont="1" applyFill="1" applyBorder="1" applyAlignment="1">
      <alignment horizontal="left"/>
    </xf>
    <xf numFmtId="0" fontId="36" fillId="0" borderId="0" xfId="0" applyFont="1"/>
    <xf numFmtId="0" fontId="3" fillId="0" borderId="46" xfId="0" applyFont="1" applyBorder="1" applyAlignment="1">
      <alignment horizontal="left" vertical="center" wrapText="1"/>
    </xf>
    <xf numFmtId="0" fontId="96" fillId="0" borderId="0" xfId="0" applyFont="1"/>
    <xf numFmtId="0" fontId="3" fillId="5" borderId="52" xfId="0" applyFont="1" applyFill="1" applyBorder="1"/>
    <xf numFmtId="0" fontId="4" fillId="0" borderId="3" xfId="0" applyFont="1" applyBorder="1" applyAlignment="1">
      <alignment horizontal="right"/>
    </xf>
    <xf numFmtId="0" fontId="4" fillId="4" borderId="111" xfId="0" applyFont="1" applyFill="1" applyBorder="1" applyAlignment="1">
      <alignment horizontal="center" vertical="center" wrapText="1"/>
    </xf>
    <xf numFmtId="0" fontId="4" fillId="4" borderId="106"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3" borderId="45" xfId="0" applyFont="1" applyFill="1" applyBorder="1"/>
    <xf numFmtId="0" fontId="4" fillId="3" borderId="104" xfId="0" applyFont="1" applyFill="1" applyBorder="1"/>
    <xf numFmtId="0" fontId="4" fillId="3" borderId="108" xfId="0" applyFont="1" applyFill="1" applyBorder="1"/>
    <xf numFmtId="0" fontId="3" fillId="11" borderId="103" xfId="0" applyFont="1" applyFill="1" applyBorder="1" applyAlignment="1">
      <alignment horizontal="left"/>
    </xf>
    <xf numFmtId="0" fontId="12" fillId="9" borderId="7" xfId="0" applyFont="1" applyFill="1" applyBorder="1" applyAlignment="1">
      <alignment horizontal="left"/>
    </xf>
    <xf numFmtId="0" fontId="12" fillId="0" borderId="56" xfId="0" applyFont="1" applyBorder="1" applyAlignment="1">
      <alignment vertical="center"/>
    </xf>
    <xf numFmtId="0" fontId="10" fillId="0" borderId="59" xfId="0" applyFont="1" applyBorder="1"/>
    <xf numFmtId="0" fontId="10" fillId="0" borderId="61" xfId="0" applyFont="1" applyBorder="1"/>
    <xf numFmtId="0" fontId="25" fillId="7" borderId="88" xfId="0" applyFont="1" applyFill="1" applyBorder="1" applyAlignment="1">
      <alignment vertical="top"/>
    </xf>
    <xf numFmtId="0" fontId="25" fillId="7" borderId="87" xfId="0" applyFont="1" applyFill="1" applyBorder="1" applyAlignment="1">
      <alignment vertical="top" wrapText="1"/>
    </xf>
    <xf numFmtId="1" fontId="4" fillId="4" borderId="45" xfId="0" applyNumberFormat="1" applyFont="1" applyFill="1" applyBorder="1" applyAlignment="1">
      <alignment horizontal="center" vertical="center"/>
    </xf>
    <xf numFmtId="1" fontId="4" fillId="4" borderId="90" xfId="0" applyNumberFormat="1" applyFont="1" applyFill="1" applyBorder="1" applyAlignment="1">
      <alignment horizontal="center" vertical="center"/>
    </xf>
    <xf numFmtId="0" fontId="3" fillId="2" borderId="91" xfId="0" applyFont="1" applyFill="1" applyBorder="1" applyAlignment="1" applyProtection="1">
      <alignment horizontal="left" vertical="center"/>
      <protection locked="0"/>
    </xf>
    <xf numFmtId="0" fontId="4" fillId="11" borderId="64" xfId="0" applyFont="1" applyFill="1" applyBorder="1" applyAlignment="1">
      <alignment horizontal="center" vertical="center" wrapText="1"/>
    </xf>
    <xf numFmtId="0" fontId="3" fillId="0" borderId="131" xfId="0" applyFont="1" applyBorder="1"/>
    <xf numFmtId="0" fontId="3" fillId="0" borderId="68" xfId="0" applyFont="1" applyBorder="1" applyAlignment="1">
      <alignment vertical="center"/>
    </xf>
    <xf numFmtId="0" fontId="4" fillId="11" borderId="18" xfId="0" applyFont="1" applyFill="1" applyBorder="1" applyAlignment="1">
      <alignment horizontal="center" vertical="center"/>
    </xf>
    <xf numFmtId="0" fontId="4" fillId="11" borderId="100" xfId="0" applyFont="1" applyFill="1" applyBorder="1" applyAlignment="1">
      <alignment horizontal="center" vertical="center"/>
    </xf>
    <xf numFmtId="0" fontId="4" fillId="0" borderId="40" xfId="0" applyFont="1" applyBorder="1" applyAlignment="1">
      <alignment horizontal="center" vertical="center"/>
    </xf>
    <xf numFmtId="0" fontId="3" fillId="2" borderId="41" xfId="0" applyFont="1" applyFill="1" applyBorder="1" applyAlignment="1" applyProtection="1">
      <alignment vertical="center" wrapText="1"/>
      <protection locked="0"/>
    </xf>
    <xf numFmtId="0" fontId="4" fillId="11" borderId="19" xfId="0" applyFont="1" applyFill="1" applyBorder="1" applyAlignment="1">
      <alignment horizontal="center" vertical="center"/>
    </xf>
    <xf numFmtId="0" fontId="12" fillId="0" borderId="38" xfId="0" applyFont="1" applyBorder="1" applyAlignment="1">
      <alignment horizontal="center" vertical="center" wrapText="1"/>
    </xf>
    <xf numFmtId="0" fontId="4" fillId="0" borderId="20" xfId="0" applyFont="1" applyBorder="1" applyAlignment="1">
      <alignment horizontal="center" vertical="center"/>
    </xf>
    <xf numFmtId="0" fontId="4" fillId="0" borderId="39" xfId="0" applyFont="1" applyBorder="1" applyAlignment="1">
      <alignment horizontal="center" vertical="center"/>
    </xf>
    <xf numFmtId="0" fontId="4" fillId="4" borderId="45" xfId="0" applyFont="1" applyFill="1" applyBorder="1" applyAlignment="1">
      <alignment horizontal="center" vertical="center"/>
    </xf>
    <xf numFmtId="0" fontId="3" fillId="2" borderId="111" xfId="0" applyFont="1" applyFill="1" applyBorder="1" applyAlignment="1" applyProtection="1">
      <alignment vertical="center" wrapText="1"/>
      <protection locked="0"/>
    </xf>
    <xf numFmtId="0" fontId="3" fillId="2" borderId="103" xfId="0" applyFont="1" applyFill="1" applyBorder="1" applyAlignment="1" applyProtection="1">
      <alignment vertical="center"/>
      <protection locked="0"/>
    </xf>
    <xf numFmtId="0" fontId="4" fillId="11" borderId="103" xfId="0" applyFont="1" applyFill="1" applyBorder="1" applyAlignment="1">
      <alignment horizontal="center" vertical="center"/>
    </xf>
    <xf numFmtId="0" fontId="4" fillId="4" borderId="104" xfId="0" applyFont="1" applyFill="1" applyBorder="1" applyAlignment="1">
      <alignment horizontal="center" vertical="center"/>
    </xf>
    <xf numFmtId="0" fontId="3" fillId="2" borderId="106" xfId="0" applyFont="1" applyFill="1" applyBorder="1" applyAlignment="1" applyProtection="1">
      <alignment vertical="center" wrapText="1"/>
      <protection locked="0"/>
    </xf>
    <xf numFmtId="0" fontId="3" fillId="2" borderId="109" xfId="0" applyFont="1" applyFill="1" applyBorder="1" applyAlignment="1" applyProtection="1">
      <alignment horizontal="center" vertical="center"/>
      <protection locked="0"/>
    </xf>
    <xf numFmtId="0" fontId="3" fillId="2" borderId="109" xfId="0" applyFont="1" applyFill="1" applyBorder="1" applyAlignment="1" applyProtection="1">
      <alignment vertical="center"/>
      <protection locked="0"/>
    </xf>
    <xf numFmtId="0" fontId="4" fillId="11" borderId="109" xfId="0" applyFont="1" applyFill="1" applyBorder="1" applyAlignment="1">
      <alignment horizontal="center" vertical="center"/>
    </xf>
    <xf numFmtId="0" fontId="4" fillId="4" borderId="108" xfId="0" applyFont="1" applyFill="1" applyBorder="1" applyAlignment="1">
      <alignment horizontal="center" vertical="center"/>
    </xf>
    <xf numFmtId="0" fontId="4" fillId="4" borderId="20" xfId="0" applyFont="1" applyFill="1" applyBorder="1" applyAlignment="1">
      <alignment horizontal="center" vertical="center"/>
    </xf>
    <xf numFmtId="166" fontId="4" fillId="4" borderId="104" xfId="0" applyNumberFormat="1" applyFont="1" applyFill="1" applyBorder="1" applyAlignment="1">
      <alignment horizontal="center" vertical="center"/>
    </xf>
    <xf numFmtId="166" fontId="4" fillId="4" borderId="108" xfId="0" applyNumberFormat="1" applyFont="1" applyFill="1" applyBorder="1" applyAlignment="1">
      <alignment horizontal="center" vertical="center"/>
    </xf>
    <xf numFmtId="166" fontId="4" fillId="4" borderId="45" xfId="0" applyNumberFormat="1" applyFont="1" applyFill="1" applyBorder="1" applyAlignment="1">
      <alignment horizontal="center" vertical="center"/>
    </xf>
    <xf numFmtId="0" fontId="3" fillId="2" borderId="18" xfId="0" applyFont="1" applyFill="1" applyBorder="1" applyAlignment="1" applyProtection="1">
      <alignment horizontal="left" vertical="center"/>
      <protection locked="0"/>
    </xf>
    <xf numFmtId="0" fontId="3" fillId="2" borderId="100" xfId="0" applyFont="1" applyFill="1" applyBorder="1" applyAlignment="1" applyProtection="1">
      <alignment horizontal="left" vertical="center"/>
      <protection locked="0"/>
    </xf>
    <xf numFmtId="0" fontId="3" fillId="11" borderId="98" xfId="0" applyFont="1" applyFill="1" applyBorder="1" applyAlignment="1">
      <alignment horizontal="center"/>
    </xf>
    <xf numFmtId="0" fontId="3" fillId="8" borderId="1" xfId="0" applyFont="1" applyFill="1" applyBorder="1" applyAlignment="1">
      <alignment horizontal="left" vertical="top" wrapText="1"/>
    </xf>
    <xf numFmtId="0" fontId="3" fillId="8" borderId="2" xfId="0" applyFont="1" applyFill="1" applyBorder="1" applyAlignment="1">
      <alignment horizontal="left" vertical="top" wrapText="1"/>
    </xf>
    <xf numFmtId="0" fontId="3" fillId="8" borderId="27" xfId="0" applyFont="1" applyFill="1" applyBorder="1" applyAlignment="1">
      <alignment horizontal="left" vertical="top" wrapText="1"/>
    </xf>
    <xf numFmtId="0" fontId="3" fillId="8" borderId="0" xfId="0" applyFont="1" applyFill="1" applyAlignment="1">
      <alignment horizontal="left" vertical="top" wrapText="1"/>
    </xf>
    <xf numFmtId="0" fontId="3" fillId="8" borderId="3"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6" xfId="0" applyFont="1" applyFill="1" applyBorder="1" applyAlignment="1">
      <alignment horizontal="left" vertical="top" wrapText="1"/>
    </xf>
    <xf numFmtId="0" fontId="3" fillId="8" borderId="27" xfId="0" applyFont="1" applyFill="1" applyBorder="1" applyAlignment="1" applyProtection="1">
      <alignment horizontal="left" vertical="top" wrapText="1"/>
      <protection locked="0"/>
    </xf>
    <xf numFmtId="0" fontId="3" fillId="8" borderId="26" xfId="0" applyFont="1" applyFill="1" applyBorder="1" applyAlignment="1" applyProtection="1">
      <alignment horizontal="left" vertical="top" wrapText="1"/>
      <protection locked="0"/>
    </xf>
    <xf numFmtId="165" fontId="4" fillId="0" borderId="124" xfId="0" applyNumberFormat="1" applyFont="1" applyBorder="1"/>
    <xf numFmtId="0" fontId="4" fillId="4" borderId="126" xfId="0" applyFont="1" applyFill="1" applyBorder="1" applyAlignment="1">
      <alignment horizontal="center"/>
    </xf>
    <xf numFmtId="14" fontId="4" fillId="4" borderId="108" xfId="0" applyNumberFormat="1" applyFont="1" applyFill="1" applyBorder="1" applyAlignment="1">
      <alignment horizontal="center"/>
    </xf>
    <xf numFmtId="0" fontId="26" fillId="16" borderId="0" xfId="0" applyFont="1" applyFill="1" applyAlignment="1">
      <alignment vertical="center" wrapText="1"/>
    </xf>
    <xf numFmtId="0" fontId="26" fillId="16" borderId="0" xfId="0" applyFont="1" applyFill="1" applyAlignment="1">
      <alignment vertical="center"/>
    </xf>
    <xf numFmtId="0" fontId="26" fillId="16" borderId="133" xfId="0" applyFont="1" applyFill="1" applyBorder="1" applyAlignment="1">
      <alignment vertical="center" wrapText="1"/>
    </xf>
    <xf numFmtId="0" fontId="26" fillId="16" borderId="68" xfId="0" applyFont="1" applyFill="1" applyBorder="1" applyAlignment="1">
      <alignment vertical="center" wrapText="1"/>
    </xf>
    <xf numFmtId="0" fontId="3" fillId="0" borderId="68" xfId="0" applyFont="1" applyBorder="1" applyAlignment="1">
      <alignment vertical="center" wrapText="1"/>
    </xf>
    <xf numFmtId="0" fontId="20" fillId="0" borderId="68" xfId="0" applyFont="1" applyBorder="1" applyAlignment="1">
      <alignment vertical="top" wrapText="1"/>
    </xf>
    <xf numFmtId="0" fontId="26" fillId="16" borderId="69" xfId="0" applyFont="1" applyFill="1" applyBorder="1" applyAlignment="1">
      <alignment vertical="center" wrapText="1"/>
    </xf>
    <xf numFmtId="0" fontId="26" fillId="16" borderId="132" xfId="0" applyFont="1" applyFill="1" applyBorder="1" applyAlignment="1">
      <alignment vertical="center"/>
    </xf>
    <xf numFmtId="0" fontId="26" fillId="16" borderId="70" xfId="0" applyFont="1" applyFill="1" applyBorder="1" applyAlignment="1">
      <alignment vertical="center"/>
    </xf>
    <xf numFmtId="0" fontId="20" fillId="0" borderId="70" xfId="0" applyFont="1" applyBorder="1" applyAlignment="1">
      <alignment vertical="top"/>
    </xf>
    <xf numFmtId="0" fontId="26" fillId="16" borderId="71" xfId="0" applyFont="1" applyFill="1" applyBorder="1" applyAlignment="1">
      <alignment vertical="center"/>
    </xf>
    <xf numFmtId="0" fontId="4" fillId="11" borderId="134" xfId="0" applyFont="1" applyFill="1" applyBorder="1" applyAlignment="1">
      <alignment vertical="center" wrapText="1"/>
    </xf>
    <xf numFmtId="0" fontId="4" fillId="11" borderId="133" xfId="0" applyFont="1" applyFill="1" applyBorder="1" applyAlignment="1">
      <alignment vertical="center" wrapText="1"/>
    </xf>
    <xf numFmtId="0" fontId="26" fillId="16" borderId="77" xfId="0" applyFont="1" applyFill="1" applyBorder="1" applyAlignment="1">
      <alignment vertical="center" wrapText="1"/>
    </xf>
    <xf numFmtId="0" fontId="4" fillId="11" borderId="132" xfId="0" applyFont="1" applyFill="1" applyBorder="1" applyAlignment="1">
      <alignment vertical="center"/>
    </xf>
    <xf numFmtId="0" fontId="4" fillId="4" borderId="103" xfId="0" applyFont="1" applyFill="1" applyBorder="1" applyAlignment="1">
      <alignment horizontal="center" vertical="center"/>
    </xf>
    <xf numFmtId="0" fontId="4" fillId="4" borderId="109" xfId="0" applyFont="1" applyFill="1" applyBorder="1" applyAlignment="1">
      <alignment horizontal="center" vertical="center"/>
    </xf>
    <xf numFmtId="3" fontId="3" fillId="2" borderId="30" xfId="0" applyNumberFormat="1" applyFont="1" applyFill="1" applyBorder="1" applyAlignment="1" applyProtection="1">
      <alignment horizontal="center" vertical="center"/>
      <protection locked="0"/>
    </xf>
    <xf numFmtId="0" fontId="10" fillId="0" borderId="105" xfId="0" applyFont="1" applyBorder="1" applyAlignment="1">
      <alignment vertical="center"/>
    </xf>
    <xf numFmtId="2" fontId="3" fillId="11" borderId="88" xfId="0" applyNumberFormat="1" applyFont="1" applyFill="1" applyBorder="1"/>
    <xf numFmtId="2" fontId="3" fillId="11" borderId="135" xfId="0" applyNumberFormat="1" applyFont="1" applyFill="1" applyBorder="1"/>
    <xf numFmtId="0" fontId="3" fillId="7" borderId="101" xfId="0" applyFont="1" applyFill="1" applyBorder="1" applyAlignment="1">
      <alignment horizontal="center" vertical="center"/>
    </xf>
    <xf numFmtId="167" fontId="26" fillId="16" borderId="0" xfId="0" applyNumberFormat="1" applyFont="1" applyFill="1" applyAlignment="1">
      <alignment vertical="center" wrapText="1"/>
    </xf>
    <xf numFmtId="0" fontId="3" fillId="0" borderId="137" xfId="0" applyFont="1" applyBorder="1" applyAlignment="1">
      <alignment horizontal="center"/>
    </xf>
    <xf numFmtId="167" fontId="26" fillId="16" borderId="138" xfId="0" applyNumberFormat="1" applyFont="1" applyFill="1" applyBorder="1" applyAlignment="1">
      <alignment vertical="center"/>
    </xf>
    <xf numFmtId="0" fontId="3" fillId="0" borderId="139" xfId="0" applyFont="1" applyBorder="1" applyAlignment="1">
      <alignment horizontal="center"/>
    </xf>
    <xf numFmtId="167" fontId="26" fillId="16" borderId="138" xfId="0" applyNumberFormat="1" applyFont="1" applyFill="1" applyBorder="1" applyAlignment="1">
      <alignment horizontal="left" vertical="center"/>
    </xf>
    <xf numFmtId="0" fontId="3" fillId="0" borderId="139" xfId="0" applyFont="1" applyBorder="1" applyAlignment="1" applyProtection="1">
      <alignment vertical="top" wrapText="1"/>
      <protection locked="0"/>
    </xf>
    <xf numFmtId="0" fontId="3" fillId="0" borderId="139" xfId="0" applyFont="1" applyBorder="1" applyAlignment="1" applyProtection="1">
      <alignment horizontal="left" vertical="top" wrapText="1"/>
      <protection locked="0"/>
    </xf>
    <xf numFmtId="167" fontId="26" fillId="16" borderId="140" xfId="0" applyNumberFormat="1" applyFont="1" applyFill="1" applyBorder="1" applyAlignment="1">
      <alignment horizontal="left" vertical="center"/>
    </xf>
    <xf numFmtId="167" fontId="26" fillId="16" borderId="141" xfId="0" applyNumberFormat="1" applyFont="1" applyFill="1" applyBorder="1" applyAlignment="1">
      <alignment horizontal="left" vertical="center" wrapText="1"/>
    </xf>
    <xf numFmtId="0" fontId="3" fillId="0" borderId="141" xfId="0" applyFont="1" applyBorder="1" applyAlignment="1" applyProtection="1">
      <alignment horizontal="left" vertical="top" wrapText="1"/>
      <protection locked="0"/>
    </xf>
    <xf numFmtId="0" fontId="3" fillId="0" borderId="142" xfId="0" applyFont="1" applyBorder="1" applyAlignment="1">
      <alignment horizontal="center"/>
    </xf>
    <xf numFmtId="0" fontId="4" fillId="0" borderId="143" xfId="0" applyFont="1" applyBorder="1" applyAlignment="1">
      <alignment horizontal="center" vertical="center" wrapText="1"/>
    </xf>
    <xf numFmtId="167" fontId="26" fillId="16" borderId="144" xfId="0" applyNumberFormat="1" applyFont="1" applyFill="1" applyBorder="1" applyAlignment="1">
      <alignment horizontal="left" vertical="center" wrapText="1"/>
    </xf>
    <xf numFmtId="0" fontId="4" fillId="0" borderId="144" xfId="0" applyFont="1" applyBorder="1" applyAlignment="1">
      <alignment vertical="center" wrapText="1"/>
    </xf>
    <xf numFmtId="0" fontId="4" fillId="0" borderId="144" xfId="0" applyFont="1" applyBorder="1" applyAlignment="1">
      <alignment vertical="top" wrapText="1"/>
    </xf>
    <xf numFmtId="0" fontId="3" fillId="0" borderId="144" xfId="0" applyFont="1" applyBorder="1" applyAlignment="1">
      <alignment horizontal="center" vertical="top" wrapText="1"/>
    </xf>
    <xf numFmtId="0" fontId="3" fillId="0" borderId="145" xfId="0" applyFont="1" applyBorder="1" applyAlignment="1">
      <alignment horizontal="center" vertical="top" wrapText="1"/>
    </xf>
    <xf numFmtId="0" fontId="3" fillId="5" borderId="87" xfId="0" applyFont="1" applyFill="1" applyBorder="1" applyAlignment="1">
      <alignment horizontal="left"/>
    </xf>
    <xf numFmtId="0" fontId="3" fillId="5" borderId="88" xfId="0" applyFont="1" applyFill="1" applyBorder="1" applyAlignment="1">
      <alignment horizontal="left"/>
    </xf>
    <xf numFmtId="165" fontId="3" fillId="12" borderId="87" xfId="0" applyNumberFormat="1" applyFont="1" applyFill="1" applyBorder="1" applyAlignment="1">
      <alignment horizontal="left"/>
    </xf>
    <xf numFmtId="165" fontId="3" fillId="12" borderId="88" xfId="0" applyNumberFormat="1" applyFont="1" applyFill="1" applyBorder="1" applyAlignment="1">
      <alignment horizontal="left"/>
    </xf>
    <xf numFmtId="165" fontId="4" fillId="9" borderId="87" xfId="0" applyNumberFormat="1" applyFont="1" applyFill="1" applyBorder="1" applyAlignment="1">
      <alignment horizontal="left" vertical="center" wrapText="1"/>
    </xf>
    <xf numFmtId="0" fontId="3" fillId="9" borderId="88" xfId="0" applyFont="1" applyFill="1" applyBorder="1" applyAlignment="1">
      <alignment horizontal="left"/>
    </xf>
    <xf numFmtId="165" fontId="3" fillId="8" borderId="26" xfId="0" applyNumberFormat="1" applyFont="1" applyFill="1" applyBorder="1" applyAlignment="1" applyProtection="1">
      <alignment horizontal="left" vertical="top" wrapText="1"/>
      <protection locked="0"/>
    </xf>
    <xf numFmtId="165" fontId="3" fillId="8" borderId="1" xfId="0" applyNumberFormat="1" applyFont="1" applyFill="1" applyBorder="1" applyAlignment="1" applyProtection="1">
      <alignment horizontal="left" vertical="top" wrapText="1"/>
      <protection locked="0"/>
    </xf>
    <xf numFmtId="165" fontId="3" fillId="8" borderId="2" xfId="0" applyNumberFormat="1" applyFont="1" applyFill="1" applyBorder="1" applyAlignment="1" applyProtection="1">
      <alignment horizontal="left" vertical="top" wrapText="1"/>
      <protection locked="0"/>
    </xf>
    <xf numFmtId="165" fontId="3" fillId="8" borderId="27" xfId="0" applyNumberFormat="1" applyFont="1" applyFill="1" applyBorder="1" applyAlignment="1" applyProtection="1">
      <alignment horizontal="left" vertical="top" wrapText="1"/>
      <protection locked="0"/>
    </xf>
    <xf numFmtId="165" fontId="3" fillId="8" borderId="0" xfId="0" applyNumberFormat="1" applyFont="1" applyFill="1" applyAlignment="1" applyProtection="1">
      <alignment horizontal="left" vertical="top" wrapText="1"/>
      <protection locked="0"/>
    </xf>
    <xf numFmtId="165" fontId="3" fillId="8" borderId="3" xfId="0" applyNumberFormat="1" applyFont="1" applyFill="1" applyBorder="1" applyAlignment="1" applyProtection="1">
      <alignment horizontal="left" vertical="top" wrapText="1"/>
      <protection locked="0"/>
    </xf>
    <xf numFmtId="165" fontId="3" fillId="8" borderId="12" xfId="0" applyNumberFormat="1" applyFont="1" applyFill="1" applyBorder="1" applyAlignment="1" applyProtection="1">
      <alignment horizontal="left" vertical="top" wrapText="1"/>
      <protection locked="0"/>
    </xf>
    <xf numFmtId="165" fontId="3" fillId="8" borderId="5" xfId="0" applyNumberFormat="1" applyFont="1" applyFill="1" applyBorder="1" applyAlignment="1" applyProtection="1">
      <alignment horizontal="left" vertical="top" wrapText="1"/>
      <protection locked="0"/>
    </xf>
    <xf numFmtId="165" fontId="3" fillId="8" borderId="6" xfId="0" applyNumberFormat="1" applyFont="1" applyFill="1" applyBorder="1" applyAlignment="1" applyProtection="1">
      <alignment horizontal="left" vertical="top" wrapText="1"/>
      <protection locked="0"/>
    </xf>
    <xf numFmtId="0" fontId="4" fillId="11" borderId="146" xfId="0" applyFont="1" applyFill="1" applyBorder="1" applyAlignment="1">
      <alignment horizontal="center" vertical="center" wrapText="1"/>
    </xf>
    <xf numFmtId="0" fontId="4" fillId="11" borderId="141" xfId="0" applyFont="1" applyFill="1" applyBorder="1" applyAlignment="1">
      <alignment horizontal="center" vertical="center" wrapText="1"/>
    </xf>
    <xf numFmtId="0" fontId="4" fillId="11" borderId="147"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left" vertical="center" wrapText="1"/>
    </xf>
    <xf numFmtId="0" fontId="10" fillId="8" borderId="26" xfId="0" applyFont="1" applyFill="1" applyBorder="1" applyAlignment="1" applyProtection="1">
      <alignment horizontal="left" vertical="top" wrapText="1"/>
      <protection locked="0"/>
    </xf>
    <xf numFmtId="0" fontId="3" fillId="8" borderId="1" xfId="0" applyFont="1" applyFill="1" applyBorder="1" applyAlignment="1">
      <alignment horizontal="left" vertical="top" wrapText="1"/>
    </xf>
    <xf numFmtId="0" fontId="3" fillId="8" borderId="2" xfId="0" applyFont="1" applyFill="1" applyBorder="1" applyAlignment="1">
      <alignment horizontal="left" vertical="top" wrapText="1"/>
    </xf>
    <xf numFmtId="0" fontId="3" fillId="8" borderId="27" xfId="0" applyFont="1" applyFill="1" applyBorder="1" applyAlignment="1">
      <alignment horizontal="left" vertical="top" wrapText="1"/>
    </xf>
    <xf numFmtId="0" fontId="3" fillId="8" borderId="0" xfId="0" applyFont="1" applyFill="1" applyAlignment="1">
      <alignment horizontal="left" vertical="top" wrapText="1"/>
    </xf>
    <xf numFmtId="0" fontId="3" fillId="8" borderId="3"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6" xfId="0" applyFont="1" applyFill="1" applyBorder="1" applyAlignment="1">
      <alignment horizontal="left" vertical="top" wrapText="1"/>
    </xf>
    <xf numFmtId="0" fontId="3" fillId="8" borderId="27" xfId="0" applyFont="1" applyFill="1" applyBorder="1" applyAlignment="1" applyProtection="1">
      <alignment horizontal="left" vertical="top" wrapText="1"/>
      <protection locked="0"/>
    </xf>
    <xf numFmtId="0" fontId="3" fillId="8" borderId="26"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0" xfId="0" applyFont="1" applyFill="1" applyAlignment="1" applyProtection="1">
      <alignment horizontal="left" vertical="top" wrapText="1"/>
      <protection locked="0"/>
    </xf>
    <xf numFmtId="0" fontId="3" fillId="8" borderId="3" xfId="0" applyFont="1" applyFill="1" applyBorder="1" applyAlignment="1" applyProtection="1">
      <alignment horizontal="left" vertical="top" wrapText="1"/>
      <protection locked="0"/>
    </xf>
    <xf numFmtId="0" fontId="3" fillId="8" borderId="12" xfId="0" applyFont="1" applyFill="1" applyBorder="1" applyAlignment="1" applyProtection="1">
      <alignment horizontal="left" vertical="top" wrapText="1"/>
      <protection locked="0"/>
    </xf>
    <xf numFmtId="0" fontId="3" fillId="8" borderId="5"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4" fillId="0" borderId="94" xfId="0" applyFont="1" applyBorder="1" applyAlignment="1">
      <alignment horizontal="center" vertical="top" wrapText="1"/>
    </xf>
    <xf numFmtId="0" fontId="4" fillId="0" borderId="98" xfId="0" applyFont="1" applyBorder="1" applyAlignment="1">
      <alignment horizontal="center" vertical="top" wrapText="1"/>
    </xf>
    <xf numFmtId="0" fontId="4" fillId="0" borderId="99" xfId="0" applyFont="1" applyBorder="1" applyAlignment="1">
      <alignment horizontal="center" vertical="top" wrapText="1"/>
    </xf>
    <xf numFmtId="0" fontId="3" fillId="0" borderId="0" xfId="0" applyFont="1" applyAlignment="1">
      <alignment vertical="center" wrapText="1"/>
    </xf>
    <xf numFmtId="0" fontId="3" fillId="2" borderId="87" xfId="0" applyFont="1" applyFill="1" applyBorder="1" applyAlignment="1">
      <alignment horizontal="left"/>
    </xf>
    <xf numFmtId="0" fontId="3" fillId="2" borderId="4" xfId="0" applyFont="1" applyFill="1" applyBorder="1" applyAlignment="1">
      <alignment horizontal="left"/>
    </xf>
    <xf numFmtId="0" fontId="3" fillId="2" borderId="88" xfId="0" applyFont="1" applyFill="1" applyBorder="1" applyAlignment="1">
      <alignment horizontal="left"/>
    </xf>
    <xf numFmtId="165" fontId="3" fillId="4" borderId="87" xfId="0" applyNumberFormat="1" applyFont="1" applyFill="1" applyBorder="1" applyAlignment="1">
      <alignment horizontal="left"/>
    </xf>
    <xf numFmtId="165" fontId="3" fillId="4" borderId="4" xfId="0" applyNumberFormat="1" applyFont="1" applyFill="1" applyBorder="1" applyAlignment="1">
      <alignment horizontal="left"/>
    </xf>
    <xf numFmtId="165" fontId="3" fillId="4" borderId="88" xfId="0" applyNumberFormat="1" applyFont="1" applyFill="1" applyBorder="1" applyAlignment="1">
      <alignment horizontal="left"/>
    </xf>
    <xf numFmtId="0" fontId="3" fillId="5" borderId="4" xfId="0" applyFont="1" applyFill="1" applyBorder="1" applyAlignment="1">
      <alignment horizontal="left"/>
    </xf>
    <xf numFmtId="0" fontId="3" fillId="7" borderId="87" xfId="0" applyFont="1" applyFill="1" applyBorder="1" applyAlignment="1">
      <alignment horizontal="left"/>
    </xf>
    <xf numFmtId="0" fontId="3" fillId="7" borderId="4" xfId="0" applyFont="1" applyFill="1" applyBorder="1" applyAlignment="1">
      <alignment horizontal="left"/>
    </xf>
    <xf numFmtId="0" fontId="3" fillId="7" borderId="88" xfId="0" applyFont="1" applyFill="1" applyBorder="1" applyAlignment="1">
      <alignment horizontal="left"/>
    </xf>
    <xf numFmtId="0" fontId="3" fillId="8" borderId="87" xfId="0" applyFont="1" applyFill="1" applyBorder="1" applyAlignment="1">
      <alignment horizontal="left"/>
    </xf>
    <xf numFmtId="0" fontId="3" fillId="8" borderId="4" xfId="0" applyFont="1" applyFill="1" applyBorder="1" applyAlignment="1">
      <alignment horizontal="left"/>
    </xf>
    <xf numFmtId="0" fontId="3" fillId="8" borderId="88" xfId="0" applyFont="1" applyFill="1" applyBorder="1" applyAlignment="1">
      <alignment horizontal="left"/>
    </xf>
    <xf numFmtId="0" fontId="3" fillId="0" borderId="5" xfId="0" applyFont="1" applyBorder="1" applyAlignment="1">
      <alignment vertical="center" wrapText="1"/>
    </xf>
    <xf numFmtId="0" fontId="10" fillId="0" borderId="0" xfId="0" applyFont="1" applyAlignment="1">
      <alignment horizontal="left" vertical="top" wrapText="1"/>
    </xf>
    <xf numFmtId="0" fontId="10" fillId="0" borderId="0" xfId="0" applyFont="1" applyAlignment="1">
      <alignment horizontal="left" wrapText="1"/>
    </xf>
    <xf numFmtId="0" fontId="3" fillId="0" borderId="0" xfId="0" applyFont="1" applyAlignment="1">
      <alignment horizontal="left" vertical="center" wrapText="1"/>
    </xf>
    <xf numFmtId="167" fontId="26" fillId="16" borderId="0" xfId="0" applyNumberFormat="1" applyFont="1" applyFill="1" applyAlignment="1">
      <alignment horizontal="left" vertical="center" wrapText="1"/>
    </xf>
    <xf numFmtId="0" fontId="4" fillId="0" borderId="110" xfId="0" applyFont="1" applyBorder="1" applyAlignment="1">
      <alignment horizontal="left" vertical="center" wrapText="1"/>
    </xf>
    <xf numFmtId="0" fontId="9" fillId="0" borderId="0" xfId="0" applyFont="1" applyAlignment="1">
      <alignment horizontal="left" vertical="center" wrapText="1"/>
    </xf>
    <xf numFmtId="0" fontId="33" fillId="0" borderId="5" xfId="0" applyFont="1" applyBorder="1" applyAlignment="1">
      <alignment horizontal="left" vertical="center" wrapText="1"/>
    </xf>
    <xf numFmtId="0" fontId="10" fillId="0" borderId="5" xfId="0" applyFont="1" applyBorder="1" applyAlignment="1">
      <alignment horizontal="left" vertical="top" wrapText="1"/>
    </xf>
    <xf numFmtId="0" fontId="4" fillId="11" borderId="128" xfId="0" applyFont="1" applyFill="1" applyBorder="1" applyAlignment="1">
      <alignment horizontal="center" vertical="center"/>
    </xf>
    <xf numFmtId="0" fontId="4" fillId="11" borderId="129" xfId="0" applyFont="1" applyFill="1" applyBorder="1" applyAlignment="1">
      <alignment horizontal="center" vertical="center"/>
    </xf>
    <xf numFmtId="0" fontId="4" fillId="11" borderId="130" xfId="0" applyFont="1" applyFill="1" applyBorder="1" applyAlignment="1">
      <alignment horizontal="center" vertical="center"/>
    </xf>
    <xf numFmtId="0" fontId="10" fillId="0" borderId="5" xfId="0" applyFont="1" applyBorder="1" applyAlignment="1">
      <alignment horizontal="left" vertical="center" wrapText="1"/>
    </xf>
    <xf numFmtId="0" fontId="3" fillId="0" borderId="1" xfId="0" applyFont="1" applyBorder="1" applyAlignment="1">
      <alignment horizontal="left" wrapText="1"/>
    </xf>
    <xf numFmtId="0" fontId="10" fillId="0" borderId="0" xfId="0" applyFont="1" applyAlignment="1">
      <alignment horizontal="left" vertical="center" wrapText="1"/>
    </xf>
    <xf numFmtId="0" fontId="3" fillId="0" borderId="0" xfId="0" applyFont="1" applyAlignment="1">
      <alignment wrapText="1"/>
    </xf>
    <xf numFmtId="0" fontId="3" fillId="0" borderId="0" xfId="0" applyFont="1"/>
    <xf numFmtId="0" fontId="4" fillId="0" borderId="136" xfId="0" applyFont="1" applyBorder="1" applyAlignment="1">
      <alignment horizontal="center" vertical="center" wrapText="1"/>
    </xf>
    <xf numFmtId="0" fontId="4" fillId="0" borderId="79" xfId="0" applyFont="1" applyBorder="1" applyAlignment="1">
      <alignment horizontal="center" vertical="center" wrapText="1"/>
    </xf>
    <xf numFmtId="0" fontId="3" fillId="2" borderId="111" xfId="0" applyFont="1" applyFill="1" applyBorder="1" applyAlignment="1" applyProtection="1">
      <alignment horizontal="left" vertical="top" wrapText="1"/>
      <protection locked="0"/>
    </xf>
    <xf numFmtId="0" fontId="3" fillId="2" borderId="103" xfId="0" applyFont="1" applyFill="1" applyBorder="1" applyAlignment="1" applyProtection="1">
      <alignment horizontal="left" vertical="top" wrapText="1"/>
      <protection locked="0"/>
    </xf>
    <xf numFmtId="0" fontId="3" fillId="2" borderId="106" xfId="0" applyFont="1" applyFill="1" applyBorder="1" applyAlignment="1" applyProtection="1">
      <alignment horizontal="left" vertical="top" wrapText="1"/>
      <protection locked="0"/>
    </xf>
    <xf numFmtId="0" fontId="3" fillId="2" borderId="109" xfId="0" applyFont="1" applyFill="1" applyBorder="1" applyAlignment="1" applyProtection="1">
      <alignment horizontal="left" vertical="top" wrapText="1"/>
      <protection locked="0"/>
    </xf>
    <xf numFmtId="0" fontId="3" fillId="3" borderId="103" xfId="0" applyFont="1" applyFill="1" applyBorder="1" applyAlignment="1" applyProtection="1">
      <alignment horizontal="center" vertical="center" wrapText="1"/>
      <protection locked="0"/>
    </xf>
    <xf numFmtId="0" fontId="3" fillId="3" borderId="104" xfId="0" applyFont="1" applyFill="1" applyBorder="1" applyAlignment="1" applyProtection="1">
      <alignment horizontal="center" vertical="center" wrapText="1"/>
      <protection locked="0"/>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3" fillId="3" borderId="109" xfId="0" applyFont="1" applyFill="1" applyBorder="1" applyAlignment="1" applyProtection="1">
      <alignment horizontal="center" vertical="center" wrapText="1"/>
      <protection locked="0"/>
    </xf>
    <xf numFmtId="0" fontId="3" fillId="3" borderId="108" xfId="0" applyFont="1" applyFill="1" applyBorder="1" applyAlignment="1" applyProtection="1">
      <alignment horizontal="center" vertical="center" wrapText="1"/>
      <protection locked="0"/>
    </xf>
    <xf numFmtId="0" fontId="4" fillId="0" borderId="0" xfId="0" applyFont="1" applyAlignment="1">
      <alignment vertical="center" wrapText="1"/>
    </xf>
    <xf numFmtId="0" fontId="20" fillId="0" borderId="56" xfId="0" applyFont="1" applyBorder="1" applyAlignment="1">
      <alignment horizontal="left" vertical="center" wrapText="1"/>
    </xf>
    <xf numFmtId="0" fontId="20" fillId="0" borderId="57" xfId="0" applyFont="1" applyBorder="1" applyAlignment="1">
      <alignment horizontal="left" vertical="center" wrapText="1"/>
    </xf>
    <xf numFmtId="0" fontId="20" fillId="0" borderId="58" xfId="0" applyFont="1" applyBorder="1" applyAlignment="1">
      <alignment horizontal="left" vertical="center" wrapText="1"/>
    </xf>
    <xf numFmtId="0" fontId="30" fillId="0" borderId="0" xfId="0" applyFont="1" applyAlignment="1">
      <alignment wrapText="1"/>
    </xf>
    <xf numFmtId="0" fontId="0" fillId="0" borderId="0" xfId="0" applyAlignment="1">
      <alignment wrapText="1"/>
    </xf>
    <xf numFmtId="0" fontId="12" fillId="0" borderId="0" xfId="0" applyFont="1" applyAlignment="1">
      <alignment horizontal="left" vertical="center" wrapText="1"/>
    </xf>
    <xf numFmtId="0" fontId="51" fillId="0" borderId="61" xfId="0" applyFont="1" applyBorder="1" applyAlignment="1">
      <alignment horizontal="left" vertical="center" wrapText="1"/>
    </xf>
    <xf numFmtId="0" fontId="51" fillId="0" borderId="62" xfId="0" applyFont="1" applyBorder="1" applyAlignment="1">
      <alignment horizontal="left" vertical="center" wrapText="1"/>
    </xf>
    <xf numFmtId="0" fontId="51" fillId="0" borderId="63" xfId="0" applyFont="1" applyBorder="1" applyAlignment="1">
      <alignment horizontal="left" vertical="center" wrapText="1"/>
    </xf>
    <xf numFmtId="0" fontId="52" fillId="0" borderId="0" xfId="0" applyFont="1" applyAlignment="1">
      <alignment horizontal="left" wrapText="1"/>
    </xf>
    <xf numFmtId="0" fontId="3" fillId="8" borderId="48" xfId="0" applyFont="1" applyFill="1" applyBorder="1" applyAlignment="1" applyProtection="1">
      <alignment horizontal="left" vertical="top" wrapText="1"/>
      <protection locked="0"/>
    </xf>
    <xf numFmtId="0" fontId="3" fillId="8" borderId="53" xfId="0" applyFont="1" applyFill="1" applyBorder="1" applyAlignment="1" applyProtection="1">
      <alignment horizontal="left" vertical="top" wrapText="1"/>
      <protection locked="0"/>
    </xf>
    <xf numFmtId="0" fontId="3" fillId="8" borderId="49" xfId="0" applyFont="1" applyFill="1" applyBorder="1" applyAlignment="1" applyProtection="1">
      <alignment horizontal="left" vertical="top" wrapText="1"/>
      <protection locked="0"/>
    </xf>
    <xf numFmtId="0" fontId="3" fillId="8" borderId="44" xfId="0" applyFont="1" applyFill="1" applyBorder="1" applyAlignment="1" applyProtection="1">
      <alignment horizontal="left" vertical="top" wrapText="1"/>
      <protection locked="0"/>
    </xf>
    <xf numFmtId="0" fontId="3" fillId="8" borderId="54" xfId="0" applyFont="1" applyFill="1" applyBorder="1" applyAlignment="1" applyProtection="1">
      <alignment horizontal="left" vertical="top" wrapText="1"/>
      <protection locked="0"/>
    </xf>
    <xf numFmtId="0" fontId="3" fillId="8" borderId="50" xfId="0" applyFont="1" applyFill="1" applyBorder="1" applyAlignment="1" applyProtection="1">
      <alignment horizontal="left" vertical="top" wrapText="1"/>
      <protection locked="0"/>
    </xf>
    <xf numFmtId="0" fontId="3" fillId="8" borderId="52" xfId="0" applyFont="1" applyFill="1" applyBorder="1" applyAlignment="1" applyProtection="1">
      <alignment horizontal="left" vertical="top" wrapText="1"/>
      <protection locked="0"/>
    </xf>
    <xf numFmtId="0" fontId="3" fillId="8" borderId="51" xfId="0" applyFont="1" applyFill="1" applyBorder="1" applyAlignment="1" applyProtection="1">
      <alignment horizontal="left" vertical="top" wrapText="1"/>
      <protection locked="0"/>
    </xf>
    <xf numFmtId="0" fontId="52" fillId="0" borderId="0" xfId="0" applyFont="1" applyAlignment="1">
      <alignment horizontal="left" vertical="center" wrapText="1"/>
    </xf>
    <xf numFmtId="0" fontId="85" fillId="0" borderId="0" xfId="0" applyFont="1" applyAlignment="1">
      <alignment horizontal="left" vertical="center" wrapText="1"/>
    </xf>
    <xf numFmtId="0" fontId="14" fillId="0" borderId="0" xfId="0" applyFont="1" applyAlignment="1">
      <alignment horizontal="left" vertical="center" wrapText="1"/>
    </xf>
    <xf numFmtId="0" fontId="4" fillId="0" borderId="0" xfId="0" applyFont="1" applyAlignment="1">
      <alignment horizontal="left" vertical="center" wrapText="1"/>
    </xf>
    <xf numFmtId="0" fontId="9" fillId="0" borderId="13" xfId="0" applyFont="1" applyBorder="1" applyAlignment="1">
      <alignment vertical="center" wrapText="1"/>
    </xf>
    <xf numFmtId="0" fontId="9" fillId="0" borderId="28" xfId="0" applyFont="1" applyBorder="1" applyAlignment="1">
      <alignment vertical="center" wrapText="1"/>
    </xf>
    <xf numFmtId="0" fontId="4" fillId="9" borderId="26" xfId="0" applyFont="1" applyFill="1" applyBorder="1" applyAlignment="1">
      <alignment horizontal="left" vertical="center" wrapText="1"/>
    </xf>
    <xf numFmtId="0" fontId="4" fillId="9" borderId="1"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12"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6" xfId="0" applyFont="1" applyFill="1" applyBorder="1" applyAlignment="1">
      <alignment horizontal="left" vertical="center" wrapText="1"/>
    </xf>
    <xf numFmtId="0" fontId="30" fillId="0" borderId="27" xfId="0" applyFont="1" applyBorder="1" applyAlignment="1">
      <alignment vertical="top" wrapText="1"/>
    </xf>
    <xf numFmtId="0" fontId="30" fillId="0" borderId="3" xfId="0" applyFont="1" applyBorder="1" applyAlignment="1">
      <alignment vertical="top" wrapText="1"/>
    </xf>
    <xf numFmtId="0" fontId="3" fillId="0" borderId="0" xfId="0" applyFont="1" applyAlignment="1">
      <alignment horizontal="left" wrapText="1" shrinkToFit="1"/>
    </xf>
    <xf numFmtId="0" fontId="4" fillId="0" borderId="0" xfId="0" applyFont="1" applyAlignment="1">
      <alignment horizontal="left"/>
    </xf>
    <xf numFmtId="0" fontId="4" fillId="0" borderId="0" xfId="0" applyFont="1" applyAlignment="1">
      <alignment horizontal="left" wrapText="1"/>
    </xf>
    <xf numFmtId="0" fontId="3" fillId="0" borderId="1" xfId="0" applyFont="1" applyBorder="1" applyAlignment="1">
      <alignment horizontal="left" vertical="top" wrapText="1"/>
    </xf>
    <xf numFmtId="0" fontId="19" fillId="0" borderId="0" xfId="0" applyFont="1" applyAlignment="1">
      <alignment horizontal="left" vertical="center" wrapText="1"/>
    </xf>
    <xf numFmtId="0" fontId="19" fillId="0" borderId="0" xfId="0" applyFont="1" applyAlignment="1">
      <alignment vertical="center" wrapText="1"/>
    </xf>
    <xf numFmtId="0" fontId="3" fillId="0" borderId="0" xfId="0" quotePrefix="1" applyFont="1" applyAlignment="1">
      <alignment horizontal="left" wrapText="1"/>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26" xfId="0" applyFont="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xf>
    <xf numFmtId="0" fontId="9" fillId="0" borderId="42" xfId="0" applyFont="1" applyBorder="1" applyAlignment="1">
      <alignment vertical="center" wrapText="1"/>
    </xf>
    <xf numFmtId="0" fontId="3" fillId="0" borderId="73" xfId="0" applyFont="1" applyBorder="1" applyAlignment="1">
      <alignment vertical="center" wrapText="1"/>
    </xf>
    <xf numFmtId="0" fontId="2" fillId="0" borderId="94" xfId="0" applyFont="1" applyBorder="1" applyAlignment="1">
      <alignment horizontal="left" vertical="center" wrapText="1"/>
    </xf>
    <xf numFmtId="0" fontId="2" fillId="0" borderId="98" xfId="0" applyFont="1" applyBorder="1" applyAlignment="1">
      <alignment horizontal="left" vertical="center" wrapText="1"/>
    </xf>
    <xf numFmtId="0" fontId="2" fillId="0" borderId="97" xfId="0" applyFont="1" applyBorder="1" applyAlignment="1">
      <alignment horizontal="left" vertical="center" wrapText="1"/>
    </xf>
    <xf numFmtId="0" fontId="30" fillId="0" borderId="0" xfId="0" applyFont="1" applyAlignment="1">
      <alignment vertical="center" wrapText="1"/>
    </xf>
    <xf numFmtId="0" fontId="3" fillId="8" borderId="1" xfId="0" applyFont="1" applyFill="1" applyBorder="1" applyAlignment="1" applyProtection="1">
      <alignment horizontal="left" vertical="top"/>
      <protection locked="0"/>
    </xf>
    <xf numFmtId="0" fontId="3" fillId="8" borderId="2" xfId="0" applyFont="1" applyFill="1" applyBorder="1" applyAlignment="1" applyProtection="1">
      <alignment horizontal="left" vertical="top"/>
      <protection locked="0"/>
    </xf>
    <xf numFmtId="0" fontId="3" fillId="8" borderId="27" xfId="0" applyFont="1" applyFill="1" applyBorder="1" applyAlignment="1" applyProtection="1">
      <alignment horizontal="left" vertical="top"/>
      <protection locked="0"/>
    </xf>
    <xf numFmtId="0" fontId="3" fillId="8" borderId="0" xfId="0" applyFont="1" applyFill="1" applyAlignment="1" applyProtection="1">
      <alignment horizontal="left" vertical="top"/>
      <protection locked="0"/>
    </xf>
    <xf numFmtId="0" fontId="3" fillId="8" borderId="3" xfId="0" applyFont="1" applyFill="1" applyBorder="1" applyAlignment="1" applyProtection="1">
      <alignment horizontal="left" vertical="top"/>
      <protection locked="0"/>
    </xf>
    <xf numFmtId="0" fontId="3" fillId="8" borderId="12" xfId="0" applyFont="1" applyFill="1" applyBorder="1" applyAlignment="1" applyProtection="1">
      <alignment horizontal="left" vertical="top"/>
      <protection locked="0"/>
    </xf>
    <xf numFmtId="0" fontId="3" fillId="8" borderId="5" xfId="0" applyFont="1" applyFill="1" applyBorder="1" applyAlignment="1" applyProtection="1">
      <alignment horizontal="left" vertical="top"/>
      <protection locked="0"/>
    </xf>
    <xf numFmtId="0" fontId="3" fillId="8" borderId="6" xfId="0" applyFont="1" applyFill="1" applyBorder="1" applyAlignment="1" applyProtection="1">
      <alignment horizontal="left" vertical="top"/>
      <protection locked="0"/>
    </xf>
    <xf numFmtId="0" fontId="4" fillId="0" borderId="42" xfId="0" applyFont="1" applyBorder="1" applyAlignment="1">
      <alignment horizontal="center" vertical="center"/>
    </xf>
    <xf numFmtId="0" fontId="4" fillId="0" borderId="36" xfId="0" applyFont="1" applyBorder="1" applyAlignment="1">
      <alignment horizontal="center" vertical="center"/>
    </xf>
    <xf numFmtId="0" fontId="3" fillId="11" borderId="87" xfId="0" applyFont="1" applyFill="1" applyBorder="1" applyAlignment="1">
      <alignment horizontal="left"/>
    </xf>
    <xf numFmtId="0" fontId="3" fillId="11" borderId="4" xfId="0" applyFont="1" applyFill="1" applyBorder="1" applyAlignment="1">
      <alignment horizontal="left"/>
    </xf>
    <xf numFmtId="0" fontId="3" fillId="11" borderId="88" xfId="0" applyFont="1" applyFill="1" applyBorder="1" applyAlignment="1">
      <alignment horizontal="left"/>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 fillId="7" borderId="103" xfId="0" applyFont="1" applyFill="1" applyBorder="1" applyAlignment="1">
      <alignment horizontal="left"/>
    </xf>
    <xf numFmtId="0" fontId="3" fillId="8" borderId="103" xfId="0" applyFont="1" applyFill="1" applyBorder="1" applyAlignment="1">
      <alignment horizontal="left"/>
    </xf>
    <xf numFmtId="0" fontId="3" fillId="0" borderId="13" xfId="0" applyFont="1" applyBorder="1" applyAlignment="1">
      <alignment horizontal="left" wrapText="1"/>
    </xf>
    <xf numFmtId="0" fontId="3" fillId="0" borderId="24" xfId="0" applyFont="1" applyBorder="1" applyAlignment="1">
      <alignment horizontal="left" wrapText="1"/>
    </xf>
    <xf numFmtId="0" fontId="3" fillId="0" borderId="47" xfId="0" applyFont="1" applyBorder="1" applyAlignment="1">
      <alignment horizontal="left" wrapText="1"/>
    </xf>
    <xf numFmtId="0" fontId="3" fillId="0" borderId="0" xfId="0" applyFont="1" applyAlignment="1">
      <alignment horizontal="center"/>
    </xf>
    <xf numFmtId="0" fontId="3" fillId="6" borderId="103" xfId="0" applyFont="1" applyFill="1" applyBorder="1" applyAlignment="1">
      <alignment horizontal="left"/>
    </xf>
    <xf numFmtId="0" fontId="3" fillId="5" borderId="103" xfId="0" applyFont="1" applyFill="1" applyBorder="1" applyAlignment="1">
      <alignment horizontal="left"/>
    </xf>
    <xf numFmtId="0" fontId="3" fillId="4" borderId="103" xfId="0" applyFont="1" applyFill="1" applyBorder="1" applyAlignment="1">
      <alignment horizontal="left"/>
    </xf>
    <xf numFmtId="0" fontId="3" fillId="2" borderId="103" xfId="0" applyFont="1" applyFill="1" applyBorder="1" applyAlignment="1">
      <alignment horizontal="left" wrapText="1"/>
    </xf>
    <xf numFmtId="0" fontId="50" fillId="0" borderId="0" xfId="0" applyFont="1" applyAlignment="1">
      <alignment wrapText="1"/>
    </xf>
    <xf numFmtId="0" fontId="0" fillId="0" borderId="0" xfId="0" applyAlignment="1">
      <alignment horizontal="left" vertical="center" wrapText="1"/>
    </xf>
    <xf numFmtId="165" fontId="3" fillId="7" borderId="0" xfId="0" applyNumberFormat="1" applyFont="1" applyFill="1" applyAlignment="1">
      <alignment horizontal="left"/>
    </xf>
    <xf numFmtId="165" fontId="3" fillId="7" borderId="54" xfId="0" applyNumberFormat="1" applyFont="1" applyFill="1" applyBorder="1" applyAlignment="1">
      <alignment horizontal="left"/>
    </xf>
    <xf numFmtId="0" fontId="85" fillId="0" borderId="5" xfId="0" applyFont="1" applyBorder="1" applyAlignment="1">
      <alignment horizontal="left" vertical="center" wrapText="1"/>
    </xf>
    <xf numFmtId="0" fontId="3" fillId="5" borderId="50" xfId="0" applyFont="1" applyFill="1" applyBorder="1" applyAlignment="1">
      <alignment horizontal="left"/>
    </xf>
    <xf numFmtId="0" fontId="3" fillId="5" borderId="52" xfId="0" applyFont="1" applyFill="1" applyBorder="1" applyAlignment="1">
      <alignment horizontal="left"/>
    </xf>
    <xf numFmtId="0" fontId="3" fillId="5" borderId="51" xfId="0" applyFont="1" applyFill="1" applyBorder="1" applyAlignment="1">
      <alignment horizontal="left"/>
    </xf>
    <xf numFmtId="0" fontId="4" fillId="20" borderId="13" xfId="0" applyFont="1" applyFill="1" applyBorder="1" applyAlignment="1">
      <alignment horizontal="center" wrapText="1"/>
    </xf>
    <xf numFmtId="0" fontId="3" fillId="20" borderId="47" xfId="0" applyFont="1" applyFill="1" applyBorder="1" applyAlignment="1">
      <alignment horizontal="center" wrapText="1"/>
    </xf>
    <xf numFmtId="165" fontId="4" fillId="0" borderId="35" xfId="0" applyNumberFormat="1" applyFont="1" applyBorder="1" applyAlignment="1">
      <alignment vertical="center"/>
    </xf>
    <xf numFmtId="165" fontId="4" fillId="0" borderId="40" xfId="0" applyNumberFormat="1" applyFont="1" applyBorder="1" applyAlignment="1">
      <alignment vertical="center"/>
    </xf>
    <xf numFmtId="165" fontId="4" fillId="0" borderId="29" xfId="0" applyNumberFormat="1" applyFont="1" applyBorder="1" applyAlignment="1">
      <alignment vertical="center"/>
    </xf>
    <xf numFmtId="0" fontId="4" fillId="20" borderId="13" xfId="0" applyFont="1" applyFill="1" applyBorder="1" applyAlignment="1">
      <alignment horizontal="center"/>
    </xf>
    <xf numFmtId="0" fontId="3" fillId="0" borderId="47" xfId="0" applyFont="1" applyBorder="1" applyAlignment="1">
      <alignment horizontal="center"/>
    </xf>
    <xf numFmtId="0" fontId="6" fillId="0" borderId="0" xfId="0" applyFont="1" applyAlignment="1">
      <alignment horizontal="left" wrapText="1"/>
    </xf>
    <xf numFmtId="0" fontId="4" fillId="0" borderId="0" xfId="0" applyFont="1" applyAlignment="1">
      <alignment wrapText="1"/>
    </xf>
    <xf numFmtId="0" fontId="3" fillId="0" borderId="111" xfId="0" applyFont="1" applyBorder="1" applyAlignment="1">
      <alignment horizontal="left" vertical="center" wrapText="1"/>
    </xf>
    <xf numFmtId="0" fontId="3" fillId="0" borderId="103" xfId="0" applyFont="1" applyBorder="1" applyAlignment="1">
      <alignment horizontal="left" vertical="center" wrapText="1"/>
    </xf>
    <xf numFmtId="0" fontId="4" fillId="7" borderId="88" xfId="0" applyFont="1" applyFill="1" applyBorder="1" applyAlignment="1">
      <alignment horizontal="left"/>
    </xf>
    <xf numFmtId="0" fontId="4" fillId="7" borderId="103" xfId="0" applyFont="1" applyFill="1" applyBorder="1" applyAlignment="1">
      <alignment horizontal="left"/>
    </xf>
    <xf numFmtId="0" fontId="4" fillId="7" borderId="104" xfId="0" applyFont="1" applyFill="1" applyBorder="1" applyAlignment="1">
      <alignment horizontal="left"/>
    </xf>
    <xf numFmtId="0" fontId="4" fillId="15" borderId="124" xfId="0" applyFont="1" applyFill="1" applyBorder="1" applyAlignment="1">
      <alignment horizontal="center" vertical="center" wrapText="1"/>
    </xf>
    <xf numFmtId="0" fontId="4" fillId="15" borderId="125" xfId="0" applyFont="1" applyFill="1" applyBorder="1" applyAlignment="1">
      <alignment horizontal="center" vertical="center" wrapText="1"/>
    </xf>
    <xf numFmtId="0" fontId="4" fillId="15" borderId="126" xfId="0" applyFont="1" applyFill="1" applyBorder="1" applyAlignment="1">
      <alignment horizontal="center" vertical="center" wrapText="1"/>
    </xf>
    <xf numFmtId="0" fontId="4" fillId="7" borderId="111" xfId="0" applyFont="1" applyFill="1" applyBorder="1" applyAlignment="1">
      <alignment horizontal="center"/>
    </xf>
    <xf numFmtId="0" fontId="4" fillId="7" borderId="103" xfId="0" applyFont="1" applyFill="1" applyBorder="1" applyAlignment="1">
      <alignment horizontal="center"/>
    </xf>
    <xf numFmtId="0" fontId="20" fillId="0" borderId="0" xfId="0" applyFont="1" applyAlignment="1">
      <alignment horizontal="left" vertical="center" wrapText="1"/>
    </xf>
    <xf numFmtId="0" fontId="26" fillId="16" borderId="111" xfId="0" applyFont="1" applyFill="1" applyBorder="1" applyAlignment="1">
      <alignment horizontal="left" vertical="center" wrapText="1"/>
    </xf>
    <xf numFmtId="0" fontId="26" fillId="16" borderId="103" xfId="0" applyFont="1" applyFill="1" applyBorder="1" applyAlignment="1">
      <alignment horizontal="left" vertical="center" wrapText="1"/>
    </xf>
    <xf numFmtId="0" fontId="3" fillId="0" borderId="78" xfId="0" applyFont="1" applyBorder="1" applyAlignment="1">
      <alignment horizontal="left" vertical="center" wrapText="1"/>
    </xf>
    <xf numFmtId="0" fontId="3" fillId="0" borderId="53" xfId="0" applyFont="1" applyBorder="1" applyAlignment="1">
      <alignment horizontal="left" vertical="center" wrapText="1"/>
    </xf>
    <xf numFmtId="0" fontId="51" fillId="0" borderId="74" xfId="0" applyFont="1" applyBorder="1" applyAlignment="1">
      <alignment horizontal="left" vertical="center" wrapText="1"/>
    </xf>
    <xf numFmtId="0" fontId="51" fillId="0" borderId="52" xfId="0" applyFont="1" applyBorder="1" applyAlignment="1">
      <alignment horizontal="left" vertical="center" wrapText="1"/>
    </xf>
    <xf numFmtId="0" fontId="51" fillId="0" borderId="27" xfId="0" applyFont="1" applyBorder="1" applyAlignment="1">
      <alignment horizontal="left" vertical="center" wrapText="1"/>
    </xf>
    <xf numFmtId="0" fontId="51" fillId="0" borderId="0" xfId="0" applyFont="1" applyAlignment="1">
      <alignment horizontal="left" vertical="center" wrapText="1"/>
    </xf>
    <xf numFmtId="167" fontId="26" fillId="16" borderId="27" xfId="0" applyNumberFormat="1" applyFont="1" applyFill="1" applyBorder="1" applyAlignment="1">
      <alignment horizontal="center" vertical="center" wrapText="1"/>
    </xf>
    <xf numFmtId="167" fontId="26" fillId="16" borderId="0" xfId="0" applyNumberFormat="1" applyFont="1" applyFill="1" applyAlignment="1">
      <alignment horizontal="center" vertical="center" wrapText="1"/>
    </xf>
    <xf numFmtId="167" fontId="26" fillId="16" borderId="54" xfId="0" applyNumberFormat="1" applyFont="1" applyFill="1" applyBorder="1" applyAlignment="1">
      <alignment horizontal="center" vertical="center" wrapText="1"/>
    </xf>
    <xf numFmtId="167" fontId="26" fillId="16" borderId="27" xfId="0" applyNumberFormat="1" applyFont="1" applyFill="1" applyBorder="1" applyAlignment="1">
      <alignment horizontal="left" vertical="center" wrapText="1"/>
    </xf>
    <xf numFmtId="167" fontId="26" fillId="16" borderId="54" xfId="0" applyNumberFormat="1" applyFont="1" applyFill="1" applyBorder="1" applyAlignment="1">
      <alignment horizontal="left" vertical="center" wrapText="1"/>
    </xf>
    <xf numFmtId="0" fontId="4" fillId="15" borderId="10" xfId="0" applyFont="1" applyFill="1" applyBorder="1" applyAlignment="1">
      <alignment horizontal="center" vertical="center" wrapText="1"/>
    </xf>
    <xf numFmtId="0" fontId="4" fillId="15" borderId="18" xfId="0" applyFont="1" applyFill="1" applyBorder="1" applyAlignment="1">
      <alignment horizontal="center" vertical="center" wrapText="1"/>
    </xf>
    <xf numFmtId="0" fontId="25" fillId="7" borderId="111" xfId="0" applyFont="1" applyFill="1" applyBorder="1" applyAlignment="1">
      <alignment horizontal="left" vertical="top" wrapText="1"/>
    </xf>
    <xf numFmtId="0" fontId="25" fillId="7" borderId="103" xfId="0" applyFont="1" applyFill="1" applyBorder="1" applyAlignment="1">
      <alignment horizontal="left" vertical="top" wrapText="1"/>
    </xf>
    <xf numFmtId="0" fontId="4" fillId="17" borderId="10" xfId="0" applyFont="1" applyFill="1" applyBorder="1" applyAlignment="1">
      <alignment horizontal="center" vertical="center" wrapText="1"/>
    </xf>
    <xf numFmtId="0" fontId="4" fillId="17" borderId="43" xfId="0" applyFont="1" applyFill="1" applyBorder="1" applyAlignment="1">
      <alignment horizontal="center" vertical="center" wrapText="1"/>
    </xf>
    <xf numFmtId="0" fontId="4" fillId="17" borderId="111" xfId="0" applyFont="1" applyFill="1" applyBorder="1" applyAlignment="1">
      <alignment horizontal="center" vertical="center" wrapText="1"/>
    </xf>
    <xf numFmtId="0" fontId="4" fillId="17" borderId="87" xfId="0" applyFont="1" applyFill="1" applyBorder="1" applyAlignment="1">
      <alignment horizontal="center" vertical="center" wrapText="1"/>
    </xf>
    <xf numFmtId="0" fontId="4" fillId="15" borderId="82" xfId="0" applyFont="1" applyFill="1" applyBorder="1" applyAlignment="1">
      <alignment horizontal="center" vertical="center" wrapText="1"/>
    </xf>
    <xf numFmtId="0" fontId="4" fillId="15" borderId="88" xfId="0" applyFont="1" applyFill="1" applyBorder="1" applyAlignment="1">
      <alignment horizontal="center" vertical="center"/>
    </xf>
    <xf numFmtId="0" fontId="4" fillId="15" borderId="36" xfId="0" applyFont="1" applyFill="1" applyBorder="1" applyAlignment="1">
      <alignment horizontal="center" vertical="center" wrapText="1"/>
    </xf>
    <xf numFmtId="0" fontId="4" fillId="15" borderId="104" xfId="0" applyFont="1" applyFill="1" applyBorder="1" applyAlignment="1">
      <alignment horizontal="center" vertical="center"/>
    </xf>
    <xf numFmtId="0" fontId="68" fillId="0" borderId="14" xfId="0" applyFont="1" applyBorder="1" applyAlignment="1">
      <alignment vertical="center" wrapText="1"/>
    </xf>
    <xf numFmtId="0" fontId="68" fillId="0" borderId="15" xfId="0" applyFont="1" applyBorder="1" applyAlignment="1">
      <alignment vertical="center"/>
    </xf>
    <xf numFmtId="0" fontId="68" fillId="0" borderId="10" xfId="0" applyFont="1" applyBorder="1" applyAlignment="1">
      <alignment horizontal="center" vertical="center" wrapText="1"/>
    </xf>
    <xf numFmtId="0" fontId="68" fillId="0" borderId="111" xfId="0" applyFont="1" applyBorder="1" applyAlignment="1">
      <alignment horizontal="center" vertical="center"/>
    </xf>
    <xf numFmtId="0" fontId="68" fillId="0" borderId="106" xfId="0" applyFont="1" applyBorder="1" applyAlignment="1">
      <alignment horizontal="center" vertical="center"/>
    </xf>
    <xf numFmtId="10" fontId="68" fillId="0" borderId="18" xfId="0" applyNumberFormat="1" applyFont="1" applyBorder="1" applyAlignment="1">
      <alignment horizontal="center" vertical="center" wrapText="1"/>
    </xf>
    <xf numFmtId="10" fontId="68" fillId="0" borderId="103" xfId="0" applyNumberFormat="1" applyFont="1" applyBorder="1" applyAlignment="1">
      <alignment horizontal="center" vertical="center" wrapText="1"/>
    </xf>
    <xf numFmtId="10" fontId="68" fillId="0" borderId="103" xfId="0" applyNumberFormat="1" applyFont="1" applyBorder="1" applyAlignment="1">
      <alignment horizontal="center" vertical="center"/>
    </xf>
    <xf numFmtId="0" fontId="58" fillId="24" borderId="26" xfId="0" applyFont="1" applyFill="1" applyBorder="1" applyAlignment="1">
      <alignment horizontal="left" vertical="center" wrapText="1"/>
    </xf>
    <xf numFmtId="0" fontId="58" fillId="24" borderId="1" xfId="0" applyFont="1" applyFill="1" applyBorder="1" applyAlignment="1">
      <alignment horizontal="left" vertical="center" wrapText="1"/>
    </xf>
    <xf numFmtId="0" fontId="58" fillId="24" borderId="1" xfId="0" applyFont="1" applyFill="1" applyBorder="1" applyAlignment="1">
      <alignment horizontal="center" vertical="center" wrapText="1"/>
    </xf>
    <xf numFmtId="0" fontId="58" fillId="24" borderId="2" xfId="0" applyFont="1" applyFill="1" applyBorder="1" applyAlignment="1">
      <alignment horizontal="center" vertical="center" wrapText="1"/>
    </xf>
    <xf numFmtId="0" fontId="3" fillId="0" borderId="112" xfId="0" applyFont="1" applyBorder="1" applyAlignment="1">
      <alignment horizontal="left" vertical="center" wrapText="1"/>
    </xf>
    <xf numFmtId="0" fontId="20" fillId="0" borderId="78" xfId="0" applyFont="1" applyBorder="1" applyAlignment="1">
      <alignment horizontal="left" vertical="center" wrapText="1"/>
    </xf>
    <xf numFmtId="0" fontId="20" fillId="0" borderId="27" xfId="0" applyFont="1" applyBorder="1" applyAlignment="1">
      <alignment horizontal="left" vertical="center" wrapText="1"/>
    </xf>
    <xf numFmtId="0" fontId="20" fillId="0" borderId="74" xfId="0" applyFont="1" applyBorder="1" applyAlignment="1">
      <alignment horizontal="left" vertical="center" wrapText="1"/>
    </xf>
    <xf numFmtId="0" fontId="51" fillId="0" borderId="76" xfId="0" applyFont="1" applyBorder="1" applyAlignment="1">
      <alignment horizontal="left" vertical="center" wrapText="1"/>
    </xf>
    <xf numFmtId="0" fontId="51" fillId="0" borderId="52" xfId="0" applyFont="1" applyBorder="1" applyAlignment="1">
      <alignment vertical="center" wrapText="1"/>
    </xf>
    <xf numFmtId="0" fontId="51" fillId="0" borderId="76" xfId="0" applyFont="1" applyBorder="1" applyAlignment="1">
      <alignment vertical="center" wrapText="1"/>
    </xf>
    <xf numFmtId="0" fontId="51" fillId="0" borderId="3" xfId="0" applyFont="1" applyBorder="1" applyAlignment="1">
      <alignment horizontal="left" vertical="center" wrapText="1"/>
    </xf>
    <xf numFmtId="0" fontId="3" fillId="0" borderId="78" xfId="0" applyFont="1" applyBorder="1" applyAlignment="1">
      <alignment vertical="center" wrapText="1"/>
    </xf>
    <xf numFmtId="0" fontId="3" fillId="0" borderId="53" xfId="0" applyFont="1" applyBorder="1" applyAlignment="1">
      <alignment vertical="center" wrapText="1"/>
    </xf>
    <xf numFmtId="0" fontId="51" fillId="0" borderId="74" xfId="0" applyFont="1" applyBorder="1" applyAlignment="1">
      <alignment vertical="center" wrapText="1"/>
    </xf>
    <xf numFmtId="0" fontId="3" fillId="0" borderId="112" xfId="0" applyFont="1" applyBorder="1" applyAlignment="1">
      <alignment vertical="center" wrapText="1"/>
    </xf>
    <xf numFmtId="0" fontId="3" fillId="0" borderId="41" xfId="0" applyFont="1" applyBorder="1" applyAlignment="1">
      <alignment horizontal="left" vertical="center" wrapText="1"/>
    </xf>
    <xf numFmtId="0" fontId="20" fillId="0" borderId="105" xfId="0" applyFont="1" applyBorder="1" applyAlignment="1">
      <alignment horizontal="left" vertical="top" wrapText="1"/>
    </xf>
    <xf numFmtId="0" fontId="20" fillId="0" borderId="103" xfId="0" applyFont="1" applyBorder="1" applyAlignment="1">
      <alignment horizontal="left" vertical="top" wrapText="1"/>
    </xf>
    <xf numFmtId="0" fontId="51" fillId="0" borderId="12" xfId="0" applyFont="1" applyBorder="1" applyAlignment="1">
      <alignment horizontal="left" vertical="center" wrapText="1"/>
    </xf>
    <xf numFmtId="0" fontId="51" fillId="0" borderId="5" xfId="0" applyFont="1" applyBorder="1" applyAlignment="1">
      <alignment horizontal="left" vertical="center" wrapText="1"/>
    </xf>
    <xf numFmtId="0" fontId="51" fillId="0" borderId="6" xfId="0" applyFont="1" applyBorder="1" applyAlignment="1">
      <alignment horizontal="left" vertical="center" wrapText="1"/>
    </xf>
    <xf numFmtId="0" fontId="3" fillId="0" borderId="1" xfId="0" applyFont="1" applyBorder="1" applyAlignment="1">
      <alignment horizontal="left" vertical="center" wrapText="1"/>
    </xf>
    <xf numFmtId="0" fontId="12" fillId="0" borderId="0" xfId="0" applyFont="1" applyAlignment="1">
      <alignment horizontal="left" wrapText="1"/>
    </xf>
    <xf numFmtId="0" fontId="26" fillId="16" borderId="115" xfId="0" applyFont="1" applyFill="1" applyBorder="1" applyAlignment="1">
      <alignment horizontal="left" vertical="center" wrapText="1"/>
    </xf>
    <xf numFmtId="0" fontId="26" fillId="16" borderId="88" xfId="0" applyFont="1" applyFill="1" applyBorder="1" applyAlignment="1">
      <alignment horizontal="left" vertical="center"/>
    </xf>
    <xf numFmtId="0" fontId="26" fillId="16" borderId="113" xfId="0" applyFont="1" applyFill="1" applyBorder="1" applyAlignment="1">
      <alignment horizontal="left" vertical="center" wrapText="1"/>
    </xf>
    <xf numFmtId="0" fontId="26" fillId="16" borderId="122" xfId="0" applyFont="1" applyFill="1" applyBorder="1" applyAlignment="1">
      <alignment horizontal="left" vertical="center"/>
    </xf>
    <xf numFmtId="0" fontId="26" fillId="16" borderId="103" xfId="0" applyFont="1" applyFill="1" applyBorder="1" applyAlignment="1">
      <alignment horizontal="left" vertical="center"/>
    </xf>
    <xf numFmtId="0" fontId="26" fillId="16" borderId="106" xfId="0" applyFont="1" applyFill="1" applyBorder="1" applyAlignment="1">
      <alignment horizontal="left" vertical="center" wrapText="1"/>
    </xf>
    <xf numFmtId="0" fontId="26" fillId="16" borderId="109" xfId="0" applyFont="1" applyFill="1" applyBorder="1" applyAlignment="1">
      <alignment horizontal="left" vertical="center"/>
    </xf>
    <xf numFmtId="0" fontId="26" fillId="16" borderId="88" xfId="0" applyFont="1" applyFill="1" applyBorder="1" applyAlignment="1">
      <alignment horizontal="left" vertical="center" wrapText="1"/>
    </xf>
    <xf numFmtId="0" fontId="27" fillId="18" borderId="115" xfId="0" applyFont="1" applyFill="1" applyBorder="1" applyAlignment="1">
      <alignment horizontal="left" vertical="center"/>
    </xf>
    <xf numFmtId="0" fontId="27" fillId="18" borderId="88" xfId="0" applyFont="1" applyFill="1" applyBorder="1" applyAlignment="1">
      <alignment horizontal="left" vertical="center"/>
    </xf>
    <xf numFmtId="0" fontId="66" fillId="0" borderId="10" xfId="0" applyFont="1" applyBorder="1" applyAlignment="1">
      <alignment vertical="center" wrapText="1"/>
    </xf>
    <xf numFmtId="0" fontId="66" fillId="0" borderId="18" xfId="0" applyFont="1" applyBorder="1" applyAlignment="1">
      <alignment vertical="center"/>
    </xf>
    <xf numFmtId="0" fontId="66" fillId="0" borderId="111" xfId="0" applyFont="1" applyBorder="1" applyAlignment="1">
      <alignment vertical="center"/>
    </xf>
    <xf numFmtId="0" fontId="66" fillId="0" borderId="103" xfId="0" applyFont="1" applyBorder="1" applyAlignment="1">
      <alignment vertical="center"/>
    </xf>
    <xf numFmtId="0" fontId="66" fillId="0" borderId="106" xfId="0" applyFont="1" applyBorder="1" applyAlignment="1">
      <alignment vertical="center"/>
    </xf>
    <xf numFmtId="0" fontId="66" fillId="0" borderId="109" xfId="0" applyFont="1" applyBorder="1" applyAlignment="1">
      <alignment vertical="center"/>
    </xf>
    <xf numFmtId="0" fontId="66" fillId="0" borderId="18" xfId="0" applyFont="1" applyBorder="1" applyAlignment="1">
      <alignment horizontal="center" vertical="center" wrapText="1"/>
    </xf>
    <xf numFmtId="0" fontId="66" fillId="0" borderId="18" xfId="0" applyFont="1" applyBorder="1" applyAlignment="1">
      <alignment horizontal="center" vertical="center"/>
    </xf>
    <xf numFmtId="0" fontId="66" fillId="0" borderId="103" xfId="0" applyFont="1" applyBorder="1" applyAlignment="1">
      <alignment horizontal="center" vertical="center" wrapText="1"/>
    </xf>
    <xf numFmtId="0" fontId="66" fillId="0" borderId="103" xfId="0" applyFont="1" applyBorder="1" applyAlignment="1">
      <alignment horizontal="center" vertical="center"/>
    </xf>
    <xf numFmtId="0" fontId="66" fillId="0" borderId="11" xfId="0" applyFont="1" applyBorder="1" applyAlignment="1">
      <alignment horizontal="center" vertical="center" wrapText="1"/>
    </xf>
    <xf numFmtId="0" fontId="66" fillId="0" borderId="104" xfId="0" applyFont="1" applyBorder="1" applyAlignment="1">
      <alignment horizontal="center" vertical="center" wrapText="1"/>
    </xf>
    <xf numFmtId="0" fontId="66" fillId="0" borderId="109" xfId="0" applyFont="1" applyBorder="1" applyAlignment="1">
      <alignment horizontal="center" vertical="center" wrapText="1"/>
    </xf>
    <xf numFmtId="0" fontId="66" fillId="0" borderId="108" xfId="0" applyFont="1" applyBorder="1" applyAlignment="1">
      <alignment horizontal="center" vertical="center" wrapText="1"/>
    </xf>
    <xf numFmtId="0" fontId="65" fillId="24" borderId="31" xfId="0" applyFont="1" applyFill="1" applyBorder="1" applyAlignment="1">
      <alignment horizontal="center" vertical="center" wrapText="1"/>
    </xf>
    <xf numFmtId="0" fontId="65" fillId="24" borderId="32" xfId="0" applyFont="1" applyFill="1" applyBorder="1" applyAlignment="1">
      <alignment horizontal="center" vertical="center" wrapText="1"/>
    </xf>
    <xf numFmtId="0" fontId="65" fillId="24" borderId="35" xfId="0" applyFont="1" applyFill="1" applyBorder="1" applyAlignment="1">
      <alignment horizontal="center" vertical="center" wrapText="1"/>
    </xf>
    <xf numFmtId="10" fontId="68" fillId="0" borderId="15" xfId="0" applyNumberFormat="1" applyFont="1" applyBorder="1" applyAlignment="1">
      <alignment horizontal="center" vertical="center" wrapText="1"/>
    </xf>
    <xf numFmtId="10" fontId="68" fillId="0" borderId="15" xfId="0" applyNumberFormat="1" applyFont="1" applyBorder="1" applyAlignment="1">
      <alignment horizontal="center" vertical="center"/>
    </xf>
    <xf numFmtId="10" fontId="68" fillId="0" borderId="32" xfId="0" applyNumberFormat="1" applyFont="1" applyBorder="1" applyAlignment="1">
      <alignment horizontal="center" vertical="center" wrapText="1"/>
    </xf>
    <xf numFmtId="0" fontId="68" fillId="0" borderId="38" xfId="0" applyFont="1" applyBorder="1" applyAlignment="1">
      <alignment vertical="center" wrapText="1"/>
    </xf>
    <xf numFmtId="0" fontId="68" fillId="0" borderId="39" xfId="0" applyFont="1" applyBorder="1" applyAlignment="1">
      <alignment vertical="center"/>
    </xf>
    <xf numFmtId="10" fontId="68" fillId="0" borderId="39" xfId="0" applyNumberFormat="1" applyFont="1" applyBorder="1" applyAlignment="1">
      <alignment horizontal="center" vertical="center" wrapText="1"/>
    </xf>
    <xf numFmtId="0" fontId="68" fillId="0" borderId="41" xfId="0" applyFont="1" applyBorder="1" applyAlignment="1">
      <alignment horizontal="left" vertical="center" wrapText="1"/>
    </xf>
    <xf numFmtId="0" fontId="68" fillId="0" borderId="111" xfId="0" applyFont="1" applyBorder="1" applyAlignment="1">
      <alignment horizontal="left" vertical="center" wrapText="1"/>
    </xf>
    <xf numFmtId="0" fontId="68" fillId="0" borderId="105" xfId="0" applyFont="1" applyBorder="1" applyAlignment="1">
      <alignment horizontal="left" vertical="center" wrapText="1"/>
    </xf>
    <xf numFmtId="0" fontId="68" fillId="0" borderId="19" xfId="0" applyFont="1" applyBorder="1" applyAlignment="1">
      <alignment horizontal="left" vertical="center" wrapText="1"/>
    </xf>
    <xf numFmtId="0" fontId="68" fillId="0" borderId="45" xfId="0" applyFont="1" applyBorder="1" applyAlignment="1">
      <alignment horizontal="left" vertical="center" wrapText="1"/>
    </xf>
    <xf numFmtId="0" fontId="68" fillId="0" borderId="103" xfId="0" applyFont="1" applyBorder="1" applyAlignment="1">
      <alignment horizontal="left" vertical="center" wrapText="1"/>
    </xf>
    <xf numFmtId="0" fontId="68" fillId="0" borderId="104" xfId="0" applyFont="1" applyBorder="1" applyAlignment="1">
      <alignment horizontal="left" vertical="center" wrapText="1"/>
    </xf>
    <xf numFmtId="0" fontId="68" fillId="0" borderId="86" xfId="0" applyFont="1" applyBorder="1" applyAlignment="1">
      <alignment horizontal="left" vertical="center" wrapText="1"/>
    </xf>
    <xf numFmtId="0" fontId="68" fillId="0" borderId="30" xfId="0" applyFont="1" applyBorder="1" applyAlignment="1">
      <alignment horizontal="left" vertical="center" wrapText="1"/>
    </xf>
    <xf numFmtId="0" fontId="68" fillId="0" borderId="15" xfId="0" applyFont="1" applyBorder="1" applyAlignment="1">
      <alignment horizontal="left" vertical="center" wrapText="1"/>
    </xf>
    <xf numFmtId="0" fontId="68" fillId="0" borderId="37" xfId="0" applyFont="1" applyBorder="1" applyAlignment="1">
      <alignment horizontal="left" vertical="center" wrapText="1"/>
    </xf>
    <xf numFmtId="0" fontId="69" fillId="0" borderId="0" xfId="0" applyFont="1" applyAlignment="1">
      <alignment vertical="center"/>
    </xf>
    <xf numFmtId="0" fontId="68" fillId="0" borderId="31" xfId="0" applyFont="1" applyBorder="1" applyAlignment="1">
      <alignment horizontal="left" vertical="center" wrapText="1"/>
    </xf>
    <xf numFmtId="0" fontId="68" fillId="0" borderId="32" xfId="0" applyFont="1" applyBorder="1" applyAlignment="1">
      <alignment horizontal="left" vertical="center" wrapText="1"/>
    </xf>
    <xf numFmtId="10" fontId="68" fillId="0" borderId="39" xfId="0" applyNumberFormat="1" applyFont="1" applyBorder="1" applyAlignment="1">
      <alignment horizontal="center" vertical="center"/>
    </xf>
    <xf numFmtId="0" fontId="68" fillId="0" borderId="15" xfId="0" applyFont="1" applyBorder="1" applyAlignment="1">
      <alignment vertical="center" wrapText="1"/>
    </xf>
    <xf numFmtId="0" fontId="68" fillId="0" borderId="10" xfId="0" applyFont="1" applyBorder="1" applyAlignment="1">
      <alignment vertical="center" wrapText="1"/>
    </xf>
    <xf numFmtId="0" fontId="68" fillId="0" borderId="106" xfId="0" applyFont="1" applyBorder="1" applyAlignment="1">
      <alignment vertical="center" wrapText="1"/>
    </xf>
    <xf numFmtId="10" fontId="68" fillId="0" borderId="18" xfId="0" applyNumberFormat="1" applyFont="1" applyBorder="1" applyAlignment="1">
      <alignment horizontal="center" vertical="center"/>
    </xf>
    <xf numFmtId="0" fontId="68" fillId="0" borderId="37" xfId="0" applyFont="1" applyBorder="1" applyAlignment="1">
      <alignment vertical="center" wrapText="1"/>
    </xf>
    <xf numFmtId="0" fontId="68" fillId="0" borderId="37" xfId="0" applyFont="1" applyBorder="1" applyAlignment="1">
      <alignment vertical="center"/>
    </xf>
    <xf numFmtId="0" fontId="68" fillId="0" borderId="35" xfId="0" applyFont="1" applyBorder="1" applyAlignment="1">
      <alignment horizontal="left" vertical="center" wrapText="1"/>
    </xf>
    <xf numFmtId="0" fontId="68" fillId="0" borderId="39" xfId="0" applyFont="1" applyBorder="1" applyAlignment="1">
      <alignment horizontal="left" vertical="center" wrapText="1"/>
    </xf>
    <xf numFmtId="0" fontId="68" fillId="0" borderId="40" xfId="0" applyFont="1" applyBorder="1" applyAlignment="1">
      <alignment horizontal="left" vertical="center" wrapText="1"/>
    </xf>
    <xf numFmtId="0" fontId="68" fillId="0" borderId="18" xfId="0" applyFont="1" applyBorder="1" applyAlignment="1">
      <alignment horizontal="left" vertical="center" wrapText="1"/>
    </xf>
    <xf numFmtId="0" fontId="68" fillId="0" borderId="11" xfId="0" applyFont="1" applyBorder="1" applyAlignment="1">
      <alignment horizontal="left" vertical="center" wrapText="1"/>
    </xf>
    <xf numFmtId="0" fontId="68" fillId="0" borderId="109" xfId="0" applyFont="1" applyBorder="1" applyAlignment="1">
      <alignment horizontal="left" vertical="center" wrapText="1"/>
    </xf>
    <xf numFmtId="0" fontId="68" fillId="0" borderId="108" xfId="0" applyFont="1" applyBorder="1" applyAlignment="1">
      <alignment horizontal="left" vertical="center" wrapText="1"/>
    </xf>
    <xf numFmtId="0" fontId="68" fillId="0" borderId="18" xfId="0" applyFont="1" applyBorder="1" applyAlignment="1">
      <alignment vertical="center" wrapText="1"/>
    </xf>
    <xf numFmtId="0" fontId="68" fillId="0" borderId="11" xfId="0" applyFont="1" applyBorder="1" applyAlignment="1">
      <alignment vertical="center" wrapText="1"/>
    </xf>
    <xf numFmtId="0" fontId="68" fillId="0" borderId="103" xfId="0" applyFont="1" applyBorder="1" applyAlignment="1">
      <alignment vertical="center" wrapText="1"/>
    </xf>
    <xf numFmtId="0" fontId="68" fillId="0" borderId="104" xfId="0" applyFont="1" applyBorder="1" applyAlignment="1">
      <alignment vertical="center" wrapText="1"/>
    </xf>
    <xf numFmtId="0" fontId="68" fillId="0" borderId="109" xfId="0" applyFont="1" applyBorder="1" applyAlignment="1">
      <alignment vertical="center" wrapText="1"/>
    </xf>
    <xf numFmtId="0" fontId="68" fillId="0" borderId="108" xfId="0" applyFont="1" applyBorder="1" applyAlignment="1">
      <alignment vertical="center" wrapText="1"/>
    </xf>
    <xf numFmtId="0" fontId="71" fillId="0" borderId="103" xfId="0" applyFont="1" applyBorder="1" applyAlignment="1">
      <alignment horizontal="left" vertical="center" wrapText="1"/>
    </xf>
    <xf numFmtId="0" fontId="71" fillId="0" borderId="109" xfId="0" applyFont="1" applyBorder="1" applyAlignment="1">
      <alignment horizontal="left" vertical="center" wrapText="1"/>
    </xf>
    <xf numFmtId="10" fontId="68" fillId="0" borderId="109" xfId="0" applyNumberFormat="1" applyFont="1" applyBorder="1" applyAlignment="1">
      <alignment horizontal="center" vertical="center"/>
    </xf>
    <xf numFmtId="0" fontId="4" fillId="17" borderId="10" xfId="0" applyFont="1" applyFill="1" applyBorder="1" applyAlignment="1">
      <alignment horizontal="left" vertical="center" wrapText="1"/>
    </xf>
    <xf numFmtId="0" fontId="4" fillId="17" borderId="18" xfId="0" applyFont="1" applyFill="1" applyBorder="1" applyAlignment="1">
      <alignment horizontal="left" vertical="center" wrapText="1"/>
    </xf>
    <xf numFmtId="0" fontId="4" fillId="17" borderId="111" xfId="0" applyFont="1" applyFill="1" applyBorder="1" applyAlignment="1">
      <alignment horizontal="left" vertical="center" wrapText="1"/>
    </xf>
    <xf numFmtId="0" fontId="4" fillId="17" borderId="103" xfId="0" applyFont="1" applyFill="1" applyBorder="1" applyAlignment="1">
      <alignment horizontal="left" vertical="center" wrapText="1"/>
    </xf>
    <xf numFmtId="0" fontId="4" fillId="17" borderId="35" xfId="0" applyFont="1" applyFill="1" applyBorder="1" applyAlignment="1">
      <alignment horizontal="center" vertical="center" wrapText="1"/>
    </xf>
    <xf numFmtId="0" fontId="4" fillId="17" borderId="45" xfId="0" applyFont="1" applyFill="1" applyBorder="1" applyAlignment="1">
      <alignment horizontal="center" vertical="center" wrapText="1"/>
    </xf>
    <xf numFmtId="0" fontId="22" fillId="13" borderId="115" xfId="0" applyFont="1" applyFill="1" applyBorder="1" applyAlignment="1">
      <alignment horizontal="left" vertical="center"/>
    </xf>
    <xf numFmtId="0" fontId="22" fillId="13" borderId="4" xfId="0" applyFont="1" applyFill="1" applyBorder="1" applyAlignment="1">
      <alignment horizontal="left" vertical="center"/>
    </xf>
    <xf numFmtId="0" fontId="22" fillId="13" borderId="88" xfId="0" applyFont="1" applyFill="1" applyBorder="1" applyAlignment="1">
      <alignment horizontal="left" vertical="center"/>
    </xf>
    <xf numFmtId="0" fontId="63" fillId="7" borderId="115" xfId="0" applyFont="1" applyFill="1" applyBorder="1" applyAlignment="1">
      <alignment horizontal="left" vertical="top"/>
    </xf>
    <xf numFmtId="0" fontId="63" fillId="7" borderId="4" xfId="0" applyFont="1" applyFill="1" applyBorder="1" applyAlignment="1">
      <alignment horizontal="left" vertical="top"/>
    </xf>
    <xf numFmtId="0" fontId="63" fillId="7" borderId="88" xfId="0" applyFont="1" applyFill="1" applyBorder="1" applyAlignment="1">
      <alignment horizontal="left" vertical="top"/>
    </xf>
    <xf numFmtId="0" fontId="69" fillId="0" borderId="1" xfId="0" applyFont="1" applyBorder="1" applyAlignment="1">
      <alignment horizontal="left"/>
    </xf>
    <xf numFmtId="0" fontId="81" fillId="0" borderId="0" xfId="0" applyFont="1" applyAlignment="1">
      <alignment horizontal="left" wrapText="1"/>
    </xf>
    <xf numFmtId="0" fontId="69" fillId="0" borderId="0" xfId="0" applyFont="1" applyAlignment="1">
      <alignment horizontal="left"/>
    </xf>
    <xf numFmtId="0" fontId="71" fillId="0" borderId="0" xfId="0" applyFont="1" applyAlignment="1">
      <alignment horizontal="left"/>
    </xf>
    <xf numFmtId="0" fontId="74" fillId="0" borderId="0" xfId="0" applyFont="1" applyAlignment="1">
      <alignment horizontal="left"/>
    </xf>
    <xf numFmtId="0" fontId="25" fillId="7" borderId="115" xfId="0" applyFont="1" applyFill="1" applyBorder="1" applyAlignment="1">
      <alignment horizontal="left" vertical="center"/>
    </xf>
    <xf numFmtId="0" fontId="25" fillId="7" borderId="4" xfId="0" applyFont="1" applyFill="1" applyBorder="1" applyAlignment="1">
      <alignment horizontal="left" vertical="center"/>
    </xf>
    <xf numFmtId="0" fontId="25" fillId="7" borderId="88" xfId="0" applyFont="1" applyFill="1" applyBorder="1" applyAlignment="1">
      <alignment horizontal="left" vertical="center"/>
    </xf>
    <xf numFmtId="0" fontId="22" fillId="13" borderId="113" xfId="0" applyFont="1" applyFill="1" applyBorder="1" applyAlignment="1">
      <alignment horizontal="left" vertical="center"/>
    </xf>
    <xf numFmtId="0" fontId="22" fillId="13" borderId="114" xfId="0" applyFont="1" applyFill="1" applyBorder="1" applyAlignment="1">
      <alignment horizontal="left" vertical="center"/>
    </xf>
    <xf numFmtId="0" fontId="22" fillId="13" borderId="122" xfId="0" applyFont="1" applyFill="1" applyBorder="1" applyAlignment="1">
      <alignment horizontal="left" vertical="center"/>
    </xf>
    <xf numFmtId="0" fontId="68" fillId="0" borderId="0" xfId="0" applyFont="1" applyAlignment="1">
      <alignment horizontal="left" wrapText="1"/>
    </xf>
    <xf numFmtId="0" fontId="76" fillId="0" borderId="0" xfId="0" applyFont="1" applyAlignment="1">
      <alignment horizontal="left" vertical="center" wrapText="1"/>
    </xf>
    <xf numFmtId="0" fontId="60" fillId="0" borderId="0" xfId="0" applyFont="1" applyAlignment="1">
      <alignment horizontal="left" vertical="center" wrapText="1"/>
    </xf>
    <xf numFmtId="0" fontId="71" fillId="0" borderId="0" xfId="0" applyFont="1" applyAlignment="1">
      <alignment horizontal="left" wrapText="1"/>
    </xf>
    <xf numFmtId="0" fontId="80" fillId="0" borderId="0" xfId="0" applyFont="1" applyAlignment="1">
      <alignment horizontal="left" vertical="top" wrapText="1"/>
    </xf>
    <xf numFmtId="0" fontId="81" fillId="0" borderId="0" xfId="0" applyFont="1" applyAlignment="1">
      <alignment horizontal="left" vertical="top" wrapText="1"/>
    </xf>
    <xf numFmtId="0" fontId="68" fillId="0" borderId="123" xfId="0" applyFont="1" applyBorder="1" applyAlignment="1">
      <alignment horizontal="left" wrapText="1"/>
    </xf>
    <xf numFmtId="0" fontId="68" fillId="0" borderId="1" xfId="0" applyFont="1" applyBorder="1" applyAlignment="1">
      <alignment horizontal="left" wrapText="1"/>
    </xf>
  </cellXfs>
  <cellStyles count="826">
    <cellStyle name="Comma" xfId="1" builtinId="3"/>
    <cellStyle name="Followed Hyperlink" xfId="271" builtinId="9" hidden="1"/>
    <cellStyle name="Followed Hyperlink" xfId="335" builtinId="9" hidden="1"/>
    <cellStyle name="Followed Hyperlink" xfId="399" builtinId="9" hidden="1"/>
    <cellStyle name="Followed Hyperlink" xfId="463" builtinId="9" hidden="1"/>
    <cellStyle name="Followed Hyperlink" xfId="527" builtinId="9" hidden="1"/>
    <cellStyle name="Followed Hyperlink" xfId="591" builtinId="9" hidden="1"/>
    <cellStyle name="Followed Hyperlink" xfId="655" builtinId="9" hidden="1"/>
    <cellStyle name="Followed Hyperlink" xfId="719" builtinId="9" hidden="1"/>
    <cellStyle name="Followed Hyperlink" xfId="783" builtinId="9" hidden="1"/>
    <cellStyle name="Followed Hyperlink" xfId="805" builtinId="9" hidden="1"/>
    <cellStyle name="Followed Hyperlink" xfId="741" builtinId="9" hidden="1"/>
    <cellStyle name="Followed Hyperlink" xfId="677" builtinId="9" hidden="1"/>
    <cellStyle name="Followed Hyperlink" xfId="613" builtinId="9" hidden="1"/>
    <cellStyle name="Followed Hyperlink" xfId="549" builtinId="9" hidden="1"/>
    <cellStyle name="Followed Hyperlink" xfId="485" builtinId="9" hidden="1"/>
    <cellStyle name="Followed Hyperlink" xfId="421" builtinId="9" hidden="1"/>
    <cellStyle name="Followed Hyperlink" xfId="357" builtinId="9" hidden="1"/>
    <cellStyle name="Followed Hyperlink" xfId="293" builtinId="9" hidden="1"/>
    <cellStyle name="Followed Hyperlink" xfId="229" builtinId="9" hidden="1"/>
    <cellStyle name="Followed Hyperlink" xfId="129" builtinId="9" hidden="1"/>
    <cellStyle name="Followed Hyperlink" xfId="169" builtinId="9" hidden="1"/>
    <cellStyle name="Followed Hyperlink" xfId="141" builtinId="9" hidden="1"/>
    <cellStyle name="Followed Hyperlink" xfId="93" builtinId="9" hidden="1"/>
    <cellStyle name="Followed Hyperlink" xfId="77" builtinId="9" hidden="1"/>
    <cellStyle name="Followed Hyperlink" xfId="125" builtinId="9" hidden="1"/>
    <cellStyle name="Followed Hyperlink" xfId="177" builtinId="9" hidden="1"/>
    <cellStyle name="Followed Hyperlink" xfId="133" builtinId="9" hidden="1"/>
    <cellStyle name="Followed Hyperlink" xfId="221" builtinId="9" hidden="1"/>
    <cellStyle name="Followed Hyperlink" xfId="285" builtinId="9" hidden="1"/>
    <cellStyle name="Followed Hyperlink" xfId="349" builtinId="9" hidden="1"/>
    <cellStyle name="Followed Hyperlink" xfId="413" builtinId="9" hidden="1"/>
    <cellStyle name="Followed Hyperlink" xfId="477" builtinId="9" hidden="1"/>
    <cellStyle name="Followed Hyperlink" xfId="541" builtinId="9" hidden="1"/>
    <cellStyle name="Followed Hyperlink" xfId="605" builtinId="9" hidden="1"/>
    <cellStyle name="Followed Hyperlink" xfId="669" builtinId="9" hidden="1"/>
    <cellStyle name="Followed Hyperlink" xfId="733" builtinId="9" hidden="1"/>
    <cellStyle name="Followed Hyperlink" xfId="797" builtinId="9" hidden="1"/>
    <cellStyle name="Followed Hyperlink" xfId="791" builtinId="9" hidden="1"/>
    <cellStyle name="Followed Hyperlink" xfId="727" builtinId="9" hidden="1"/>
    <cellStyle name="Followed Hyperlink" xfId="663" builtinId="9" hidden="1"/>
    <cellStyle name="Followed Hyperlink" xfId="599" builtinId="9" hidden="1"/>
    <cellStyle name="Followed Hyperlink" xfId="535" builtinId="9" hidden="1"/>
    <cellStyle name="Followed Hyperlink" xfId="471" builtinId="9" hidden="1"/>
    <cellStyle name="Followed Hyperlink" xfId="407" builtinId="9" hidden="1"/>
    <cellStyle name="Followed Hyperlink" xfId="343" builtinId="9" hidden="1"/>
    <cellStyle name="Followed Hyperlink" xfId="279" builtinId="9" hidden="1"/>
    <cellStyle name="Followed Hyperlink" xfId="215" builtinId="9" hidden="1"/>
    <cellStyle name="Followed Hyperlink" xfId="151" builtinId="9" hidden="1"/>
    <cellStyle name="Followed Hyperlink" xfId="87" builtinId="9" hidden="1"/>
    <cellStyle name="Followed Hyperlink" xfId="51" builtinId="9" hidden="1"/>
    <cellStyle name="Followed Hyperlink" xfId="21" builtinId="9" hidden="1"/>
    <cellStyle name="Followed Hyperlink" xfId="23" builtinId="9" hidden="1"/>
    <cellStyle name="Followed Hyperlink" xfId="37" builtinId="9" hidden="1"/>
    <cellStyle name="Followed Hyperlink" xfId="107" builtinId="9" hidden="1"/>
    <cellStyle name="Followed Hyperlink" xfId="171" builtinId="9" hidden="1"/>
    <cellStyle name="Followed Hyperlink" xfId="235" builtinId="9" hidden="1"/>
    <cellStyle name="Followed Hyperlink" xfId="299" builtinId="9" hidden="1"/>
    <cellStyle name="Followed Hyperlink" xfId="363" builtinId="9" hidden="1"/>
    <cellStyle name="Followed Hyperlink" xfId="427" builtinId="9" hidden="1"/>
    <cellStyle name="Followed Hyperlink" xfId="491" builtinId="9" hidden="1"/>
    <cellStyle name="Followed Hyperlink" xfId="555" builtinId="9" hidden="1"/>
    <cellStyle name="Followed Hyperlink" xfId="619" builtinId="9" hidden="1"/>
    <cellStyle name="Followed Hyperlink" xfId="683" builtinId="9" hidden="1"/>
    <cellStyle name="Followed Hyperlink" xfId="747" builtinId="9" hidden="1"/>
    <cellStyle name="Followed Hyperlink" xfId="811" builtinId="9" hidden="1"/>
    <cellStyle name="Followed Hyperlink" xfId="777" builtinId="9" hidden="1"/>
    <cellStyle name="Followed Hyperlink" xfId="713" builtinId="9" hidden="1"/>
    <cellStyle name="Followed Hyperlink" xfId="649" builtinId="9" hidden="1"/>
    <cellStyle name="Followed Hyperlink" xfId="585" builtinId="9" hidden="1"/>
    <cellStyle name="Followed Hyperlink" xfId="521" builtinId="9" hidden="1"/>
    <cellStyle name="Followed Hyperlink" xfId="457" builtinId="9" hidden="1"/>
    <cellStyle name="Followed Hyperlink" xfId="321" builtinId="9" hidden="1"/>
    <cellStyle name="Followed Hyperlink" xfId="361" builtinId="9" hidden="1"/>
    <cellStyle name="Followed Hyperlink" xfId="401" builtinId="9" hidden="1"/>
    <cellStyle name="Followed Hyperlink" xfId="449" builtinId="9" hidden="1"/>
    <cellStyle name="Followed Hyperlink" xfId="345" builtinId="9" hidden="1"/>
    <cellStyle name="Followed Hyperlink" xfId="241" builtinId="9" hidden="1"/>
    <cellStyle name="Followed Hyperlink" xfId="249" builtinId="9" hidden="1"/>
    <cellStyle name="Followed Hyperlink" xfId="201" builtinId="9" hidden="1"/>
    <cellStyle name="Followed Hyperlink" xfId="217" builtinId="9" hidden="1"/>
    <cellStyle name="Followed Hyperlink" xfId="257" builtinId="9" hidden="1"/>
    <cellStyle name="Followed Hyperlink" xfId="313" builtinId="9" hidden="1"/>
    <cellStyle name="Followed Hyperlink" xfId="441" builtinId="9" hidden="1"/>
    <cellStyle name="Followed Hyperlink" xfId="417" builtinId="9" hidden="1"/>
    <cellStyle name="Followed Hyperlink" xfId="369" builtinId="9" hidden="1"/>
    <cellStyle name="Followed Hyperlink" xfId="329" builtinId="9" hidden="1"/>
    <cellStyle name="Followed Hyperlink" xfId="289" builtinId="9" hidden="1"/>
    <cellStyle name="Followed Hyperlink" xfId="505" builtinId="9" hidden="1"/>
    <cellStyle name="Followed Hyperlink" xfId="569" builtinId="9" hidden="1"/>
    <cellStyle name="Followed Hyperlink" xfId="633" builtinId="9" hidden="1"/>
    <cellStyle name="Followed Hyperlink" xfId="697" builtinId="9" hidden="1"/>
    <cellStyle name="Followed Hyperlink" xfId="761" builtinId="9" hidden="1"/>
    <cellStyle name="Followed Hyperlink" xfId="825" builtinId="9" hidden="1"/>
    <cellStyle name="Followed Hyperlink" xfId="763" builtinId="9" hidden="1"/>
    <cellStyle name="Followed Hyperlink" xfId="699" builtinId="9" hidden="1"/>
    <cellStyle name="Followed Hyperlink" xfId="635" builtinId="9" hidden="1"/>
    <cellStyle name="Followed Hyperlink" xfId="571" builtinId="9" hidden="1"/>
    <cellStyle name="Followed Hyperlink" xfId="507" builtinId="9" hidden="1"/>
    <cellStyle name="Followed Hyperlink" xfId="443" builtinId="9" hidden="1"/>
    <cellStyle name="Followed Hyperlink" xfId="379" builtinId="9" hidden="1"/>
    <cellStyle name="Followed Hyperlink" xfId="315" builtinId="9" hidden="1"/>
    <cellStyle name="Followed Hyperlink" xfId="251" builtinId="9" hidden="1"/>
    <cellStyle name="Followed Hyperlink" xfId="187" builtinId="9" hidden="1"/>
    <cellStyle name="Followed Hyperlink" xfId="123" builtinId="9" hidden="1"/>
    <cellStyle name="Followed Hyperlink" xfId="27" builtinId="9" hidden="1"/>
    <cellStyle name="Followed Hyperlink" xfId="55" builtinId="9" hidden="1"/>
    <cellStyle name="Followed Hyperlink" xfId="5" builtinId="9" hidden="1"/>
    <cellStyle name="Followed Hyperlink" xfId="61" builtinId="9" hidden="1"/>
    <cellStyle name="Followed Hyperlink" xfId="71" builtinId="9" hidden="1"/>
    <cellStyle name="Followed Hyperlink" xfId="135" builtinId="9" hidden="1"/>
    <cellStyle name="Followed Hyperlink" xfId="199" builtinId="9" hidden="1"/>
    <cellStyle name="Followed Hyperlink" xfId="263" builtinId="9" hidden="1"/>
    <cellStyle name="Followed Hyperlink" xfId="327" builtinId="9" hidden="1"/>
    <cellStyle name="Followed Hyperlink" xfId="391" builtinId="9" hidden="1"/>
    <cellStyle name="Followed Hyperlink" xfId="455" builtinId="9" hidden="1"/>
    <cellStyle name="Followed Hyperlink" xfId="519" builtinId="9" hidden="1"/>
    <cellStyle name="Followed Hyperlink" xfId="583" builtinId="9" hidden="1"/>
    <cellStyle name="Followed Hyperlink" xfId="647" builtinId="9" hidden="1"/>
    <cellStyle name="Followed Hyperlink" xfId="711" builtinId="9" hidden="1"/>
    <cellStyle name="Followed Hyperlink" xfId="775" builtinId="9" hidden="1"/>
    <cellStyle name="Followed Hyperlink" xfId="813" builtinId="9" hidden="1"/>
    <cellStyle name="Followed Hyperlink" xfId="749" builtinId="9" hidden="1"/>
    <cellStyle name="Followed Hyperlink" xfId="685" builtinId="9" hidden="1"/>
    <cellStyle name="Followed Hyperlink" xfId="621" builtinId="9" hidden="1"/>
    <cellStyle name="Followed Hyperlink" xfId="557" builtinId="9" hidden="1"/>
    <cellStyle name="Followed Hyperlink" xfId="493" builtinId="9" hidden="1"/>
    <cellStyle name="Followed Hyperlink" xfId="429" builtinId="9" hidden="1"/>
    <cellStyle name="Followed Hyperlink" xfId="365" builtinId="9" hidden="1"/>
    <cellStyle name="Followed Hyperlink" xfId="301" builtinId="9" hidden="1"/>
    <cellStyle name="Followed Hyperlink" xfId="237" builtinId="9" hidden="1"/>
    <cellStyle name="Followed Hyperlink" xfId="121" builtinId="9" hidden="1"/>
    <cellStyle name="Followed Hyperlink" xfId="165" builtinId="9" hidden="1"/>
    <cellStyle name="Followed Hyperlink" xfId="157" builtinId="9" hidden="1"/>
    <cellStyle name="Followed Hyperlink" xfId="105" builtinId="9" hidden="1"/>
    <cellStyle name="Followed Hyperlink" xfId="81" builtinId="9" hidden="1"/>
    <cellStyle name="Followed Hyperlink" xfId="109" builtinId="9" hidden="1"/>
    <cellStyle name="Followed Hyperlink" xfId="181" builtinId="9" hidden="1"/>
    <cellStyle name="Followed Hyperlink" xfId="137" builtinId="9" hidden="1"/>
    <cellStyle name="Followed Hyperlink" xfId="213" builtinId="9" hidden="1"/>
    <cellStyle name="Followed Hyperlink" xfId="277" builtinId="9" hidden="1"/>
    <cellStyle name="Followed Hyperlink" xfId="341" builtinId="9" hidden="1"/>
    <cellStyle name="Followed Hyperlink" xfId="405" builtinId="9" hidden="1"/>
    <cellStyle name="Followed Hyperlink" xfId="469" builtinId="9" hidden="1"/>
    <cellStyle name="Followed Hyperlink" xfId="533" builtinId="9" hidden="1"/>
    <cellStyle name="Followed Hyperlink" xfId="597" builtinId="9" hidden="1"/>
    <cellStyle name="Followed Hyperlink" xfId="661" builtinId="9" hidden="1"/>
    <cellStyle name="Followed Hyperlink" xfId="725" builtinId="9" hidden="1"/>
    <cellStyle name="Followed Hyperlink" xfId="789" builtinId="9" hidden="1"/>
    <cellStyle name="Followed Hyperlink" xfId="799" builtinId="9" hidden="1"/>
    <cellStyle name="Followed Hyperlink" xfId="735" builtinId="9" hidden="1"/>
    <cellStyle name="Followed Hyperlink" xfId="671" builtinId="9" hidden="1"/>
    <cellStyle name="Followed Hyperlink" xfId="607" builtinId="9" hidden="1"/>
    <cellStyle name="Followed Hyperlink" xfId="543" builtinId="9" hidden="1"/>
    <cellStyle name="Followed Hyperlink" xfId="479" builtinId="9" hidden="1"/>
    <cellStyle name="Followed Hyperlink" xfId="415" builtinId="9" hidden="1"/>
    <cellStyle name="Followed Hyperlink" xfId="351" builtinId="9" hidden="1"/>
    <cellStyle name="Followed Hyperlink" xfId="287" builtinId="9" hidden="1"/>
    <cellStyle name="Followed Hyperlink" xfId="223" builtinId="9" hidden="1"/>
    <cellStyle name="Followed Hyperlink" xfId="159" builtinId="9" hidden="1"/>
    <cellStyle name="Followed Hyperlink" xfId="95" builtinId="9" hidden="1"/>
    <cellStyle name="Followed Hyperlink" xfId="45" builtinId="9" hidden="1"/>
    <cellStyle name="Followed Hyperlink" xfId="17" builtinId="9" hidden="1"/>
    <cellStyle name="Followed Hyperlink" xfId="13" builtinId="9" hidden="1"/>
    <cellStyle name="Followed Hyperlink" xfId="43" builtinId="9" hidden="1"/>
    <cellStyle name="Followed Hyperlink" xfId="99" builtinId="9" hidden="1"/>
    <cellStyle name="Followed Hyperlink" xfId="163" builtinId="9" hidden="1"/>
    <cellStyle name="Followed Hyperlink" xfId="227" builtinId="9" hidden="1"/>
    <cellStyle name="Followed Hyperlink" xfId="291" builtinId="9" hidden="1"/>
    <cellStyle name="Followed Hyperlink" xfId="355" builtinId="9" hidden="1"/>
    <cellStyle name="Followed Hyperlink" xfId="419" builtinId="9" hidden="1"/>
    <cellStyle name="Followed Hyperlink" xfId="483" builtinId="9" hidden="1"/>
    <cellStyle name="Followed Hyperlink" xfId="547" builtinId="9" hidden="1"/>
    <cellStyle name="Followed Hyperlink" xfId="611" builtinId="9" hidden="1"/>
    <cellStyle name="Followed Hyperlink" xfId="675" builtinId="9" hidden="1"/>
    <cellStyle name="Followed Hyperlink" xfId="657" builtinId="9" hidden="1"/>
    <cellStyle name="Followed Hyperlink" xfId="705" builtinId="9" hidden="1"/>
    <cellStyle name="Followed Hyperlink" xfId="737" builtinId="9" hidden="1"/>
    <cellStyle name="Followed Hyperlink" xfId="785" builtinId="9" hidden="1"/>
    <cellStyle name="Followed Hyperlink" xfId="819" builtinId="9" hidden="1"/>
    <cellStyle name="Followed Hyperlink" xfId="787" builtinId="9" hidden="1"/>
    <cellStyle name="Followed Hyperlink" xfId="739" builtinId="9" hidden="1"/>
    <cellStyle name="Followed Hyperlink" xfId="691" builtinId="9" hidden="1"/>
    <cellStyle name="Followed Hyperlink" xfId="771" builtinId="9" hidden="1"/>
    <cellStyle name="Followed Hyperlink" xfId="753" builtinId="9" hidden="1"/>
    <cellStyle name="Followed Hyperlink" xfId="625" builtinId="9" hidden="1"/>
    <cellStyle name="Followed Hyperlink" xfId="545" builtinId="9" hidden="1"/>
    <cellStyle name="Followed Hyperlink" xfId="593" builtinId="9" hidden="1"/>
    <cellStyle name="Followed Hyperlink" xfId="561" builtinId="9" hidden="1"/>
    <cellStyle name="Followed Hyperlink" xfId="513" builtinId="9" hidden="1"/>
    <cellStyle name="Followed Hyperlink" xfId="465" builtinId="9" hidden="1"/>
    <cellStyle name="Followed Hyperlink" xfId="481" builtinId="9" hidden="1"/>
    <cellStyle name="Followed Hyperlink" xfId="497" builtinId="9" hidden="1"/>
    <cellStyle name="Followed Hyperlink" xfId="609" builtinId="9" hidden="1"/>
    <cellStyle name="Followed Hyperlink" xfId="577" builtinId="9" hidden="1"/>
    <cellStyle name="Followed Hyperlink" xfId="529" builtinId="9" hidden="1"/>
    <cellStyle name="Followed Hyperlink" xfId="689" builtinId="9" hidden="1"/>
    <cellStyle name="Followed Hyperlink" xfId="817" builtinId="9" hidden="1"/>
    <cellStyle name="Followed Hyperlink" xfId="707" builtinId="9" hidden="1"/>
    <cellStyle name="Followed Hyperlink" xfId="723" builtinId="9" hidden="1"/>
    <cellStyle name="Followed Hyperlink" xfId="755" builtinId="9" hidden="1"/>
    <cellStyle name="Followed Hyperlink" xfId="803" builtinId="9" hidden="1"/>
    <cellStyle name="Followed Hyperlink" xfId="801" builtinId="9" hidden="1"/>
    <cellStyle name="Followed Hyperlink" xfId="769" builtinId="9" hidden="1"/>
    <cellStyle name="Followed Hyperlink" xfId="721" builtinId="9" hidden="1"/>
    <cellStyle name="Followed Hyperlink" xfId="673" builtinId="9" hidden="1"/>
    <cellStyle name="Followed Hyperlink" xfId="641" builtinId="9" hidden="1"/>
    <cellStyle name="Followed Hyperlink" xfId="643" builtinId="9" hidden="1"/>
    <cellStyle name="Followed Hyperlink" xfId="579" builtinId="9" hidden="1"/>
    <cellStyle name="Followed Hyperlink" xfId="515" builtinId="9" hidden="1"/>
    <cellStyle name="Followed Hyperlink" xfId="451" builtinId="9" hidden="1"/>
    <cellStyle name="Followed Hyperlink" xfId="387" builtinId="9" hidden="1"/>
    <cellStyle name="Followed Hyperlink" xfId="323" builtinId="9" hidden="1"/>
    <cellStyle name="Followed Hyperlink" xfId="259" builtinId="9" hidden="1"/>
    <cellStyle name="Followed Hyperlink" xfId="195" builtinId="9" hidden="1"/>
    <cellStyle name="Followed Hyperlink" xfId="131" builtinId="9" hidden="1"/>
    <cellStyle name="Followed Hyperlink" xfId="67" builtinId="9" hidden="1"/>
    <cellStyle name="Followed Hyperlink" xfId="65" builtinId="9" hidden="1"/>
    <cellStyle name="Followed Hyperlink" xfId="3" builtinId="9" hidden="1"/>
    <cellStyle name="Followed Hyperlink" xfId="63" builtinId="9" hidden="1"/>
    <cellStyle name="Followed Hyperlink" xfId="25" builtinId="9" hidden="1"/>
    <cellStyle name="Followed Hyperlink" xfId="127" builtinId="9" hidden="1"/>
    <cellStyle name="Followed Hyperlink" xfId="191" builtinId="9" hidden="1"/>
    <cellStyle name="Followed Hyperlink" xfId="255" builtinId="9" hidden="1"/>
    <cellStyle name="Followed Hyperlink" xfId="319" builtinId="9" hidden="1"/>
    <cellStyle name="Followed Hyperlink" xfId="383" builtinId="9" hidden="1"/>
    <cellStyle name="Followed Hyperlink" xfId="447" builtinId="9" hidden="1"/>
    <cellStyle name="Followed Hyperlink" xfId="511" builtinId="9" hidden="1"/>
    <cellStyle name="Followed Hyperlink" xfId="575" builtinId="9" hidden="1"/>
    <cellStyle name="Followed Hyperlink" xfId="639" builtinId="9" hidden="1"/>
    <cellStyle name="Followed Hyperlink" xfId="703" builtinId="9" hidden="1"/>
    <cellStyle name="Followed Hyperlink" xfId="767" builtinId="9" hidden="1"/>
    <cellStyle name="Followed Hyperlink" xfId="821" builtinId="9" hidden="1"/>
    <cellStyle name="Followed Hyperlink" xfId="757" builtinId="9" hidden="1"/>
    <cellStyle name="Followed Hyperlink" xfId="693" builtinId="9" hidden="1"/>
    <cellStyle name="Followed Hyperlink" xfId="629" builtinId="9" hidden="1"/>
    <cellStyle name="Followed Hyperlink" xfId="565" builtinId="9" hidden="1"/>
    <cellStyle name="Followed Hyperlink" xfId="501" builtinId="9" hidden="1"/>
    <cellStyle name="Followed Hyperlink" xfId="437" builtinId="9" hidden="1"/>
    <cellStyle name="Followed Hyperlink" xfId="373" builtinId="9" hidden="1"/>
    <cellStyle name="Followed Hyperlink" xfId="309" builtinId="9" hidden="1"/>
    <cellStyle name="Followed Hyperlink" xfId="245" builtinId="9" hidden="1"/>
    <cellStyle name="Followed Hyperlink" xfId="117" builtinId="9" hidden="1"/>
    <cellStyle name="Followed Hyperlink" xfId="161" builtinId="9" hidden="1"/>
    <cellStyle name="Followed Hyperlink" xfId="173" builtinId="9" hidden="1"/>
    <cellStyle name="Followed Hyperlink" xfId="101" builtinId="9" hidden="1"/>
    <cellStyle name="Followed Hyperlink" xfId="73" builtinId="9" hidden="1"/>
    <cellStyle name="Followed Hyperlink" xfId="85" builtinId="9" hidden="1"/>
    <cellStyle name="Followed Hyperlink" xfId="185" builtinId="9" hidden="1"/>
    <cellStyle name="Followed Hyperlink" xfId="145" builtinId="9" hidden="1"/>
    <cellStyle name="Followed Hyperlink" xfId="205" builtinId="9" hidden="1"/>
    <cellStyle name="Followed Hyperlink" xfId="269" builtinId="9" hidden="1"/>
    <cellStyle name="Followed Hyperlink" xfId="333" builtinId="9" hidden="1"/>
    <cellStyle name="Followed Hyperlink" xfId="397" builtinId="9" hidden="1"/>
    <cellStyle name="Followed Hyperlink" xfId="461" builtinId="9" hidden="1"/>
    <cellStyle name="Followed Hyperlink" xfId="525" builtinId="9" hidden="1"/>
    <cellStyle name="Followed Hyperlink" xfId="589" builtinId="9" hidden="1"/>
    <cellStyle name="Followed Hyperlink" xfId="653" builtinId="9" hidden="1"/>
    <cellStyle name="Followed Hyperlink" xfId="717" builtinId="9" hidden="1"/>
    <cellStyle name="Followed Hyperlink" xfId="781" builtinId="9" hidden="1"/>
    <cellStyle name="Followed Hyperlink" xfId="807" builtinId="9" hidden="1"/>
    <cellStyle name="Followed Hyperlink" xfId="743" builtinId="9" hidden="1"/>
    <cellStyle name="Followed Hyperlink" xfId="679" builtinId="9" hidden="1"/>
    <cellStyle name="Followed Hyperlink" xfId="615" builtinId="9" hidden="1"/>
    <cellStyle name="Followed Hyperlink" xfId="551" builtinId="9" hidden="1"/>
    <cellStyle name="Followed Hyperlink" xfId="487" builtinId="9" hidden="1"/>
    <cellStyle name="Followed Hyperlink" xfId="423" builtinId="9" hidden="1"/>
    <cellStyle name="Followed Hyperlink" xfId="359" builtinId="9" hidden="1"/>
    <cellStyle name="Followed Hyperlink" xfId="295" builtinId="9" hidden="1"/>
    <cellStyle name="Followed Hyperlink" xfId="231" builtinId="9" hidden="1"/>
    <cellStyle name="Followed Hyperlink" xfId="167" builtinId="9" hidden="1"/>
    <cellStyle name="Followed Hyperlink" xfId="103" builtinId="9" hidden="1"/>
    <cellStyle name="Followed Hyperlink" xfId="41" builtinId="9" hidden="1"/>
    <cellStyle name="Followed Hyperlink" xfId="11" builtinId="9" hidden="1"/>
    <cellStyle name="Followed Hyperlink" xfId="19" builtinId="9" hidden="1"/>
    <cellStyle name="Followed Hyperlink" xfId="49" builtinId="9" hidden="1"/>
    <cellStyle name="Followed Hyperlink" xfId="91" builtinId="9" hidden="1"/>
    <cellStyle name="Followed Hyperlink" xfId="155" builtinId="9" hidden="1"/>
    <cellStyle name="Followed Hyperlink" xfId="219" builtinId="9" hidden="1"/>
    <cellStyle name="Followed Hyperlink" xfId="283" builtinId="9" hidden="1"/>
    <cellStyle name="Followed Hyperlink" xfId="347" builtinId="9" hidden="1"/>
    <cellStyle name="Followed Hyperlink" xfId="411" builtinId="9" hidden="1"/>
    <cellStyle name="Followed Hyperlink" xfId="475" builtinId="9" hidden="1"/>
    <cellStyle name="Followed Hyperlink" xfId="539" builtinId="9" hidden="1"/>
    <cellStyle name="Followed Hyperlink" xfId="603" builtinId="9" hidden="1"/>
    <cellStyle name="Followed Hyperlink" xfId="667" builtinId="9" hidden="1"/>
    <cellStyle name="Followed Hyperlink" xfId="731" builtinId="9" hidden="1"/>
    <cellStyle name="Followed Hyperlink" xfId="795" builtinId="9" hidden="1"/>
    <cellStyle name="Followed Hyperlink" xfId="793" builtinId="9" hidden="1"/>
    <cellStyle name="Followed Hyperlink" xfId="729" builtinId="9" hidden="1"/>
    <cellStyle name="Followed Hyperlink" xfId="665" builtinId="9" hidden="1"/>
    <cellStyle name="Followed Hyperlink" xfId="601" builtinId="9" hidden="1"/>
    <cellStyle name="Followed Hyperlink" xfId="537" builtinId="9" hidden="1"/>
    <cellStyle name="Followed Hyperlink" xfId="473" builtinId="9" hidden="1"/>
    <cellStyle name="Followed Hyperlink" xfId="305" builtinId="9" hidden="1"/>
    <cellStyle name="Followed Hyperlink" xfId="353" builtinId="9" hidden="1"/>
    <cellStyle name="Followed Hyperlink" xfId="393" builtinId="9" hidden="1"/>
    <cellStyle name="Followed Hyperlink" xfId="433" builtinId="9" hidden="1"/>
    <cellStyle name="Followed Hyperlink" xfId="377" builtinId="9" hidden="1"/>
    <cellStyle name="Followed Hyperlink" xfId="233" builtinId="9" hidden="1"/>
    <cellStyle name="Followed Hyperlink" xfId="273" builtinId="9" hidden="1"/>
    <cellStyle name="Followed Hyperlink" xfId="209" builtinId="9" hidden="1"/>
    <cellStyle name="Followed Hyperlink" xfId="225" builtinId="9" hidden="1"/>
    <cellStyle name="Followed Hyperlink" xfId="265" builtinId="9" hidden="1"/>
    <cellStyle name="Followed Hyperlink" xfId="281" builtinId="9" hidden="1"/>
    <cellStyle name="Followed Hyperlink" xfId="409" builtinId="9" hidden="1"/>
    <cellStyle name="Followed Hyperlink" xfId="425" builtinId="9" hidden="1"/>
    <cellStyle name="Followed Hyperlink" xfId="385" builtinId="9" hidden="1"/>
    <cellStyle name="Followed Hyperlink" xfId="337" builtinId="9" hidden="1"/>
    <cellStyle name="Followed Hyperlink" xfId="297" builtinId="9" hidden="1"/>
    <cellStyle name="Followed Hyperlink" xfId="489" builtinId="9" hidden="1"/>
    <cellStyle name="Followed Hyperlink" xfId="553" builtinId="9" hidden="1"/>
    <cellStyle name="Followed Hyperlink" xfId="617" builtinId="9" hidden="1"/>
    <cellStyle name="Followed Hyperlink" xfId="681" builtinId="9" hidden="1"/>
    <cellStyle name="Followed Hyperlink" xfId="745" builtinId="9" hidden="1"/>
    <cellStyle name="Followed Hyperlink" xfId="809" builtinId="9" hidden="1"/>
    <cellStyle name="Followed Hyperlink" xfId="779" builtinId="9" hidden="1"/>
    <cellStyle name="Followed Hyperlink" xfId="715" builtinId="9" hidden="1"/>
    <cellStyle name="Followed Hyperlink" xfId="651" builtinId="9" hidden="1"/>
    <cellStyle name="Followed Hyperlink" xfId="587" builtinId="9" hidden="1"/>
    <cellStyle name="Followed Hyperlink" xfId="523" builtinId="9" hidden="1"/>
    <cellStyle name="Followed Hyperlink" xfId="459" builtinId="9" hidden="1"/>
    <cellStyle name="Followed Hyperlink" xfId="395" builtinId="9" hidden="1"/>
    <cellStyle name="Followed Hyperlink" xfId="331" builtinId="9" hidden="1"/>
    <cellStyle name="Followed Hyperlink" xfId="267" builtinId="9" hidden="1"/>
    <cellStyle name="Followed Hyperlink" xfId="203" builtinId="9" hidden="1"/>
    <cellStyle name="Followed Hyperlink" xfId="139" builtinId="9" hidden="1"/>
    <cellStyle name="Followed Hyperlink" xfId="75" builtinId="9" hidden="1"/>
    <cellStyle name="Followed Hyperlink" xfId="59" builtinId="9" hidden="1"/>
    <cellStyle name="Followed Hyperlink" xfId="9" builtinId="9" hidden="1"/>
    <cellStyle name="Followed Hyperlink" xfId="47" builtinId="9" hidden="1"/>
    <cellStyle name="Followed Hyperlink" xfId="29" builtinId="9" hidden="1"/>
    <cellStyle name="Followed Hyperlink" xfId="119" builtinId="9" hidden="1"/>
    <cellStyle name="Followed Hyperlink" xfId="183" builtinId="9" hidden="1"/>
    <cellStyle name="Followed Hyperlink" xfId="247" builtinId="9" hidden="1"/>
    <cellStyle name="Followed Hyperlink" xfId="311" builtinId="9" hidden="1"/>
    <cellStyle name="Followed Hyperlink" xfId="375" builtinId="9" hidden="1"/>
    <cellStyle name="Followed Hyperlink" xfId="439" builtinId="9" hidden="1"/>
    <cellStyle name="Followed Hyperlink" xfId="503" builtinId="9" hidden="1"/>
    <cellStyle name="Followed Hyperlink" xfId="567" builtinId="9" hidden="1"/>
    <cellStyle name="Followed Hyperlink" xfId="631" builtinId="9" hidden="1"/>
    <cellStyle name="Followed Hyperlink" xfId="695" builtinId="9" hidden="1"/>
    <cellStyle name="Followed Hyperlink" xfId="759" builtinId="9" hidden="1"/>
    <cellStyle name="Followed Hyperlink" xfId="823" builtinId="9" hidden="1"/>
    <cellStyle name="Followed Hyperlink" xfId="765" builtinId="9" hidden="1"/>
    <cellStyle name="Followed Hyperlink" xfId="701" builtinId="9" hidden="1"/>
    <cellStyle name="Followed Hyperlink" xfId="637" builtinId="9" hidden="1"/>
    <cellStyle name="Followed Hyperlink" xfId="573" builtinId="9" hidden="1"/>
    <cellStyle name="Followed Hyperlink" xfId="509" builtinId="9" hidden="1"/>
    <cellStyle name="Followed Hyperlink" xfId="445" builtinId="9" hidden="1"/>
    <cellStyle name="Followed Hyperlink" xfId="381" builtinId="9" hidden="1"/>
    <cellStyle name="Followed Hyperlink" xfId="317" builtinId="9" hidden="1"/>
    <cellStyle name="Followed Hyperlink" xfId="253" builtinId="9" hidden="1"/>
    <cellStyle name="Followed Hyperlink" xfId="113" builtinId="9" hidden="1"/>
    <cellStyle name="Followed Hyperlink" xfId="153" builtinId="9" hidden="1"/>
    <cellStyle name="Followed Hyperlink" xfId="189" builtinId="9" hidden="1"/>
    <cellStyle name="Followed Hyperlink" xfId="97" builtinId="9" hidden="1"/>
    <cellStyle name="Followed Hyperlink" xfId="69" builtinId="9" hidden="1"/>
    <cellStyle name="Followed Hyperlink" xfId="89" builtinId="9" hidden="1"/>
    <cellStyle name="Followed Hyperlink" xfId="193" builtinId="9" hidden="1"/>
    <cellStyle name="Followed Hyperlink" xfId="149" builtinId="9" hidden="1"/>
    <cellStyle name="Followed Hyperlink" xfId="197" builtinId="9" hidden="1"/>
    <cellStyle name="Followed Hyperlink" xfId="261" builtinId="9" hidden="1"/>
    <cellStyle name="Followed Hyperlink" xfId="325" builtinId="9" hidden="1"/>
    <cellStyle name="Followed Hyperlink" xfId="389" builtinId="9" hidden="1"/>
    <cellStyle name="Followed Hyperlink" xfId="453" builtinId="9" hidden="1"/>
    <cellStyle name="Followed Hyperlink" xfId="517" builtinId="9" hidden="1"/>
    <cellStyle name="Followed Hyperlink" xfId="581" builtinId="9" hidden="1"/>
    <cellStyle name="Followed Hyperlink" xfId="645" builtinId="9" hidden="1"/>
    <cellStyle name="Followed Hyperlink" xfId="709" builtinId="9" hidden="1"/>
    <cellStyle name="Followed Hyperlink" xfId="773" builtinId="9" hidden="1"/>
    <cellStyle name="Followed Hyperlink" xfId="815" builtinId="9" hidden="1"/>
    <cellStyle name="Followed Hyperlink" xfId="751" builtinId="9" hidden="1"/>
    <cellStyle name="Followed Hyperlink" xfId="687" builtinId="9" hidden="1"/>
    <cellStyle name="Followed Hyperlink" xfId="623" builtinId="9" hidden="1"/>
    <cellStyle name="Followed Hyperlink" xfId="559" builtinId="9" hidden="1"/>
    <cellStyle name="Followed Hyperlink" xfId="495" builtinId="9" hidden="1"/>
    <cellStyle name="Followed Hyperlink" xfId="431" builtinId="9" hidden="1"/>
    <cellStyle name="Followed Hyperlink" xfId="367" builtinId="9" hidden="1"/>
    <cellStyle name="Followed Hyperlink" xfId="303" builtinId="9" hidden="1"/>
    <cellStyle name="Followed Hyperlink" xfId="239" builtinId="9" hidden="1"/>
    <cellStyle name="Followed Hyperlink" xfId="307" builtinId="9" hidden="1"/>
    <cellStyle name="Followed Hyperlink" xfId="275" builtinId="9" hidden="1"/>
    <cellStyle name="Followed Hyperlink" xfId="243" builtinId="9" hidden="1"/>
    <cellStyle name="Followed Hyperlink" xfId="179" builtinId="9" hidden="1"/>
    <cellStyle name="Followed Hyperlink" xfId="147" builtinId="9" hidden="1"/>
    <cellStyle name="Followed Hyperlink" xfId="115" builtinId="9" hidden="1"/>
    <cellStyle name="Followed Hyperlink" xfId="33" builtinId="9" hidden="1"/>
    <cellStyle name="Followed Hyperlink" xfId="53" builtinId="9" hidden="1"/>
    <cellStyle name="Followed Hyperlink" xfId="39" builtinId="9" hidden="1"/>
    <cellStyle name="Followed Hyperlink" xfId="7" builtinId="9" hidden="1"/>
    <cellStyle name="Followed Hyperlink" xfId="31" builtinId="9" hidden="1"/>
    <cellStyle name="Followed Hyperlink" xfId="57" builtinId="9" hidden="1"/>
    <cellStyle name="Followed Hyperlink" xfId="79" builtinId="9" hidden="1"/>
    <cellStyle name="Followed Hyperlink" xfId="111" builtinId="9" hidden="1"/>
    <cellStyle name="Followed Hyperlink" xfId="143" builtinId="9" hidden="1"/>
    <cellStyle name="Followed Hyperlink" xfId="207" builtinId="9" hidden="1"/>
    <cellStyle name="Followed Hyperlink" xfId="175" builtinId="9" hidden="1"/>
    <cellStyle name="Followed Hyperlink" xfId="35" builtinId="9" hidden="1"/>
    <cellStyle name="Followed Hyperlink" xfId="15" builtinId="9" hidden="1"/>
    <cellStyle name="Followed Hyperlink" xfId="83" builtinId="9" hidden="1"/>
    <cellStyle name="Followed Hyperlink" xfId="211" builtinId="9" hidden="1"/>
    <cellStyle name="Followed Hyperlink" xfId="339" builtinId="9" hidden="1"/>
    <cellStyle name="Followed Hyperlink" xfId="531" builtinId="9" hidden="1"/>
    <cellStyle name="Followed Hyperlink" xfId="499" builtinId="9" hidden="1"/>
    <cellStyle name="Followed Hyperlink" xfId="435" builtinId="9" hidden="1"/>
    <cellStyle name="Followed Hyperlink" xfId="403" builtinId="9" hidden="1"/>
    <cellStyle name="Followed Hyperlink" xfId="371" builtinId="9" hidden="1"/>
    <cellStyle name="Followed Hyperlink" xfId="467" builtinId="9" hidden="1"/>
    <cellStyle name="Followed Hyperlink" xfId="595" builtinId="9" hidden="1"/>
    <cellStyle name="Followed Hyperlink" xfId="563" builtinId="9" hidden="1"/>
    <cellStyle name="Followed Hyperlink" xfId="627" builtinId="9" hidden="1"/>
    <cellStyle name="Followed Hyperlink" xfId="659" builtinId="9" hidden="1"/>
    <cellStyle name="Hyperlink" xfId="816" builtinId="8" hidden="1"/>
    <cellStyle name="Hyperlink" xfId="820" builtinId="8" hidden="1"/>
    <cellStyle name="Hyperlink" xfId="810" builtinId="8" hidden="1"/>
    <cellStyle name="Hyperlink" xfId="802" builtinId="8" hidden="1"/>
    <cellStyle name="Hyperlink" xfId="778" builtinId="8" hidden="1"/>
    <cellStyle name="Hyperlink" xfId="754" builtinId="8" hidden="1"/>
    <cellStyle name="Hyperlink" xfId="738" builtinId="8" hidden="1"/>
    <cellStyle name="Hyperlink" xfId="714" builtinId="8" hidden="1"/>
    <cellStyle name="Hyperlink" xfId="682" builtinId="8" hidden="1"/>
    <cellStyle name="Hyperlink" xfId="674" builtinId="8" hidden="1"/>
    <cellStyle name="Hyperlink" xfId="658" builtinId="8" hidden="1"/>
    <cellStyle name="Hyperlink" xfId="626" builtinId="8" hidden="1"/>
    <cellStyle name="Hyperlink" xfId="618" builtinId="8" hidden="1"/>
    <cellStyle name="Hyperlink" xfId="594" builtinId="8" hidden="1"/>
    <cellStyle name="Hyperlink" xfId="578" builtinId="8" hidden="1"/>
    <cellStyle name="Hyperlink" xfId="546" builtinId="8" hidden="1"/>
    <cellStyle name="Hyperlink" xfId="530" builtinId="8" hidden="1"/>
    <cellStyle name="Hyperlink" xfId="722" builtinId="8" hidden="1"/>
    <cellStyle name="Hyperlink" xfId="752" builtinId="8" hidden="1"/>
    <cellStyle name="Hyperlink" xfId="756" builtinId="8" hidden="1"/>
    <cellStyle name="Hyperlink" xfId="766" builtinId="8" hidden="1"/>
    <cellStyle name="Hyperlink" xfId="768" builtinId="8" hidden="1"/>
    <cellStyle name="Hyperlink" xfId="776" builtinId="8" hidden="1"/>
    <cellStyle name="Hyperlink" xfId="784" builtinId="8" hidden="1"/>
    <cellStyle name="Hyperlink" xfId="790" builtinId="8" hidden="1"/>
    <cellStyle name="Hyperlink" xfId="796" builtinId="8" hidden="1"/>
    <cellStyle name="Hyperlink" xfId="800" builtinId="8" hidden="1"/>
    <cellStyle name="Hyperlink" xfId="726" builtinId="8" hidden="1"/>
    <cellStyle name="Hyperlink" xfId="732" builtinId="8" hidden="1"/>
    <cellStyle name="Hyperlink" xfId="742" builtinId="8" hidden="1"/>
    <cellStyle name="Hyperlink" xfId="744" builtinId="8" hidden="1"/>
    <cellStyle name="Hyperlink" xfId="712" builtinId="8" hidden="1"/>
    <cellStyle name="Hyperlink" xfId="720" builtinId="8" hidden="1"/>
    <cellStyle name="Hyperlink" xfId="704" builtinId="8" hidden="1"/>
    <cellStyle name="Hyperlink" xfId="710" builtinId="8" hidden="1"/>
    <cellStyle name="Hyperlink" xfId="724" builtinId="8" hidden="1"/>
    <cellStyle name="Hyperlink" xfId="748" builtinId="8" hidden="1"/>
    <cellStyle name="Hyperlink" xfId="734" builtinId="8" hidden="1"/>
    <cellStyle name="Hyperlink" xfId="788" builtinId="8" hidden="1"/>
    <cellStyle name="Hyperlink" xfId="774" builtinId="8" hidden="1"/>
    <cellStyle name="Hyperlink" xfId="758" builtinId="8" hidden="1"/>
    <cellStyle name="Hyperlink" xfId="562" builtinId="8" hidden="1"/>
    <cellStyle name="Hyperlink" xfId="610" builtinId="8" hidden="1"/>
    <cellStyle name="Hyperlink" xfId="650" builtinId="8" hidden="1"/>
    <cellStyle name="Hyperlink" xfId="746" builtinId="8" hidden="1"/>
    <cellStyle name="Hyperlink" xfId="786" builtinId="8" hidden="1"/>
    <cellStyle name="Hyperlink" xfId="822" builtinId="8" hidden="1"/>
    <cellStyle name="Hyperlink" xfId="156" builtinId="8" hidden="1"/>
    <cellStyle name="Hyperlink" xfId="252" builtinId="8" hidden="1"/>
    <cellStyle name="Hyperlink" xfId="64" builtinId="8" hidden="1"/>
    <cellStyle name="Hyperlink" xfId="296" builtinId="8" hidden="1"/>
    <cellStyle name="Hyperlink" xfId="286" builtinId="8" hidden="1"/>
    <cellStyle name="Hyperlink" xfId="270" builtinId="8" hidden="1"/>
    <cellStyle name="Hyperlink" xfId="242" builtinId="8" hidden="1"/>
    <cellStyle name="Hyperlink" xfId="230" builtinId="8" hidden="1"/>
    <cellStyle name="Hyperlink" xfId="214" builtinId="8" hidden="1"/>
    <cellStyle name="Hyperlink" xfId="188" builtinId="8" hidden="1"/>
    <cellStyle name="Hyperlink" xfId="174" builtinId="8" hidden="1"/>
    <cellStyle name="Hyperlink" xfId="160" builtinId="8" hidden="1"/>
    <cellStyle name="Hyperlink" xfId="132" builtinId="8" hidden="1"/>
    <cellStyle name="Hyperlink" xfId="338" builtinId="8" hidden="1"/>
    <cellStyle name="Hyperlink" xfId="394" builtinId="8" hidden="1"/>
    <cellStyle name="Hyperlink" xfId="490" builtinId="8" hidden="1"/>
    <cellStyle name="Hyperlink" xfId="82" builtinId="8" hidden="1"/>
    <cellStyle name="Hyperlink" xfId="128" builtinId="8" hidden="1"/>
    <cellStyle name="Hyperlink" xfId="122" builtinId="8" hidden="1"/>
    <cellStyle name="Hyperlink" xfId="254" builtinId="8" hidden="1"/>
    <cellStyle name="Hyperlink" xfId="378" builtinId="8" hidden="1"/>
    <cellStyle name="Hyperlink" xfId="492" builtinId="8" hidden="1"/>
    <cellStyle name="Hyperlink" xfId="540" builtinId="8" hidden="1"/>
    <cellStyle name="Hyperlink" xfId="588" builtinId="8" hidden="1"/>
    <cellStyle name="Hyperlink" xfId="686" builtinId="8" hidden="1"/>
    <cellStyle name="Hyperlink" xfId="382" builtinId="8" hidden="1"/>
    <cellStyle name="Hyperlink" xfId="428" builtinId="8" hidden="1"/>
    <cellStyle name="Hyperlink" xfId="380" builtinId="8" hidden="1"/>
    <cellStyle name="Hyperlink" xfId="302" builtinId="8" hidden="1"/>
    <cellStyle name="Hyperlink" xfId="312" builtinId="8" hidden="1"/>
    <cellStyle name="Hyperlink" xfId="374" builtinId="8" hidden="1"/>
    <cellStyle name="Hyperlink" xfId="360" builtinId="8" hidden="1"/>
    <cellStyle name="Hyperlink" xfId="348" builtinId="8" hidden="1"/>
    <cellStyle name="Hyperlink" xfId="454" builtinId="8" hidden="1"/>
    <cellStyle name="Hyperlink" xfId="440" builtinId="8" hidden="1"/>
    <cellStyle name="Hyperlink" xfId="424" builtinId="8" hidden="1"/>
    <cellStyle name="Hyperlink" xfId="396" builtinId="8" hidden="1"/>
    <cellStyle name="Hyperlink" xfId="346" builtinId="8" hidden="1"/>
    <cellStyle name="Hyperlink" xfId="410" builtinId="8" hidden="1"/>
    <cellStyle name="Hyperlink" xfId="474" builtinId="8" hidden="1"/>
    <cellStyle name="Hyperlink" xfId="570" builtinId="8" hidden="1"/>
    <cellStyle name="Hyperlink" xfId="602" builtinId="8" hidden="1"/>
    <cellStyle name="Hyperlink" xfId="698" builtinId="8" hidden="1"/>
    <cellStyle name="Hyperlink" xfId="730" builtinId="8" hidden="1"/>
    <cellStyle name="Hyperlink" xfId="794" builtinId="8" hidden="1"/>
    <cellStyle name="Hyperlink" xfId="792" builtinId="8" hidden="1"/>
    <cellStyle name="Hyperlink" xfId="782" builtinId="8" hidden="1"/>
    <cellStyle name="Hyperlink" xfId="772" builtinId="8" hidden="1"/>
    <cellStyle name="Hyperlink" xfId="740" builtinId="8" hidden="1"/>
    <cellStyle name="Hyperlink" xfId="728" builtinId="8" hidden="1"/>
    <cellStyle name="Hyperlink" xfId="708" builtinId="8" hidden="1"/>
    <cellStyle name="Hyperlink" xfId="480" builtinId="8" hidden="1"/>
    <cellStyle name="Hyperlink" xfId="486" builtinId="8" hidden="1"/>
    <cellStyle name="Hyperlink" xfId="488" builtinId="8" hidden="1"/>
    <cellStyle name="Hyperlink" xfId="496" builtinId="8" hidden="1"/>
    <cellStyle name="Hyperlink" xfId="500" builtinId="8" hidden="1"/>
    <cellStyle name="Hyperlink" xfId="510" builtinId="8" hidden="1"/>
    <cellStyle name="Hyperlink" xfId="518" builtinId="8" hidden="1"/>
    <cellStyle name="Hyperlink" xfId="520" builtinId="8" hidden="1"/>
    <cellStyle name="Hyperlink" xfId="524" builtinId="8" hidden="1"/>
    <cellStyle name="Hyperlink" xfId="534" builtinId="8" hidden="1"/>
    <cellStyle name="Hyperlink" xfId="542" builtinId="8" hidden="1"/>
    <cellStyle name="Hyperlink" xfId="544" builtinId="8" hidden="1"/>
    <cellStyle name="Hyperlink" xfId="556" builtinId="8" hidden="1"/>
    <cellStyle name="Hyperlink" xfId="558" builtinId="8" hidden="1"/>
    <cellStyle name="Hyperlink" xfId="560" builtinId="8" hidden="1"/>
    <cellStyle name="Hyperlink" xfId="574" builtinId="8" hidden="1"/>
    <cellStyle name="Hyperlink" xfId="580" builtinId="8" hidden="1"/>
    <cellStyle name="Hyperlink" xfId="582" builtinId="8" hidden="1"/>
    <cellStyle name="Hyperlink" xfId="592" builtinId="8" hidden="1"/>
    <cellStyle name="Hyperlink" xfId="596" builtinId="8" hidden="1"/>
    <cellStyle name="Hyperlink" xfId="598" builtinId="8" hidden="1"/>
    <cellStyle name="Hyperlink" xfId="608" builtinId="8" hidden="1"/>
    <cellStyle name="Hyperlink" xfId="616" builtinId="8" hidden="1"/>
    <cellStyle name="Hyperlink" xfId="620" builtinId="8" hidden="1"/>
    <cellStyle name="Hyperlink" xfId="628" builtinId="8" hidden="1"/>
    <cellStyle name="Hyperlink" xfId="630" builtinId="8" hidden="1"/>
    <cellStyle name="Hyperlink" xfId="640" builtinId="8" hidden="1"/>
    <cellStyle name="Hyperlink" xfId="646" builtinId="8" hidden="1"/>
    <cellStyle name="Hyperlink" xfId="652" builtinId="8" hidden="1"/>
    <cellStyle name="Hyperlink" xfId="656" builtinId="8" hidden="1"/>
    <cellStyle name="Hyperlink" xfId="664" builtinId="8" hidden="1"/>
    <cellStyle name="Hyperlink" xfId="670" builtinId="8" hidden="1"/>
    <cellStyle name="Hyperlink" xfId="678" builtinId="8" hidden="1"/>
    <cellStyle name="Hyperlink" xfId="684" builtinId="8" hidden="1"/>
    <cellStyle name="Hyperlink" xfId="688" builtinId="8" hidden="1"/>
    <cellStyle name="Hyperlink" xfId="692" builtinId="8" hidden="1"/>
    <cellStyle name="Hyperlink" xfId="676" builtinId="8" hidden="1"/>
    <cellStyle name="Hyperlink" xfId="654" builtinId="8" hidden="1"/>
    <cellStyle name="Hyperlink" xfId="612" builtinId="8" hidden="1"/>
    <cellStyle name="Hyperlink" xfId="568" builtinId="8" hidden="1"/>
    <cellStyle name="Hyperlink" xfId="526" builtinId="8" hidden="1"/>
    <cellStyle name="Hyperlink" xfId="504" builtinId="8" hidden="1"/>
    <cellStyle name="Hyperlink" xfId="484" builtinId="8" hidden="1"/>
    <cellStyle name="Hyperlink" xfId="696" builtinId="8" hidden="1"/>
    <cellStyle name="Hyperlink" xfId="668" builtinId="8" hidden="1"/>
    <cellStyle name="Hyperlink" xfId="604" builtinId="8" hidden="1"/>
    <cellStyle name="Hyperlink" xfId="572" builtinId="8" hidden="1"/>
    <cellStyle name="Hyperlink" xfId="536" builtinId="8" hidden="1"/>
    <cellStyle name="Hyperlink" xfId="472" builtinId="8" hidden="1"/>
    <cellStyle name="Hyperlink" xfId="814" builtinId="8" hidden="1"/>
    <cellStyle name="Hyperlink" xfId="538" builtinId="8" hidden="1"/>
    <cellStyle name="Hyperlink" xfId="8" builtinId="8" hidden="1"/>
    <cellStyle name="Hyperlink" xfId="12" builtinId="8" hidden="1"/>
    <cellStyle name="Hyperlink" xfId="4" builtinId="8" hidden="1"/>
    <cellStyle name="Hyperlink" xfId="14" builtinId="8" hidden="1"/>
    <cellStyle name="Hyperlink" xfId="28" builtinId="8" hidden="1"/>
    <cellStyle name="Hyperlink" xfId="20" builtinId="8" hidden="1"/>
    <cellStyle name="Hyperlink" xfId="42" builtinId="8" hidden="1"/>
    <cellStyle name="Hyperlink" xfId="34" builtinId="8" hidden="1"/>
    <cellStyle name="Hyperlink" xfId="120" builtinId="8" hidden="1"/>
    <cellStyle name="Hyperlink" xfId="104" builtinId="8" hidden="1"/>
    <cellStyle name="Hyperlink" xfId="78" builtinId="8" hidden="1"/>
    <cellStyle name="Hyperlink" xfId="70" builtinId="8" hidden="1"/>
    <cellStyle name="Hyperlink" xfId="250" builtinId="8" hidden="1"/>
    <cellStyle name="Hyperlink" xfId="300" builtinId="8" hidden="1"/>
    <cellStyle name="Hyperlink" xfId="280" builtinId="8" hidden="1"/>
    <cellStyle name="Hyperlink" xfId="262" builtinId="8" hidden="1"/>
    <cellStyle name="Hyperlink" xfId="244" builtinId="8" hidden="1"/>
    <cellStyle name="Hyperlink" xfId="236" builtinId="8" hidden="1"/>
    <cellStyle name="Hyperlink" xfId="208" builtinId="8" hidden="1"/>
    <cellStyle name="Hyperlink" xfId="198" builtinId="8" hidden="1"/>
    <cellStyle name="Hyperlink" xfId="190" builtinId="8" hidden="1"/>
    <cellStyle name="Hyperlink" xfId="152" builtinId="8" hidden="1"/>
    <cellStyle name="Hyperlink" xfId="134" builtinId="8" hidden="1"/>
    <cellStyle name="Hyperlink" xfId="314" builtinId="8" hidden="1"/>
    <cellStyle name="Hyperlink" xfId="86" builtinId="8" hidden="1"/>
    <cellStyle name="Hyperlink" xfId="118" builtinId="8" hidden="1"/>
    <cellStyle name="Hyperlink" xfId="124" builtinId="8" hidden="1"/>
    <cellStyle name="Hyperlink" xfId="90" builtinId="8" hidden="1"/>
    <cellStyle name="Hyperlink" xfId="30" builtinId="8" hidden="1"/>
    <cellStyle name="Hyperlink" xfId="32" builtinId="8" hidden="1"/>
    <cellStyle name="Hyperlink" xfId="40" builtinId="8" hidden="1"/>
    <cellStyle name="Hyperlink" xfId="44" builtinId="8" hidden="1"/>
    <cellStyle name="Hyperlink" xfId="48" builtinId="8" hidden="1"/>
    <cellStyle name="Hyperlink" xfId="54" builtinId="8" hidden="1"/>
    <cellStyle name="Hyperlink" xfId="58" builtinId="8" hidden="1"/>
    <cellStyle name="Hyperlink" xfId="16" builtinId="8" hidden="1"/>
    <cellStyle name="Hyperlink" xfId="18" builtinId="8" hidden="1"/>
    <cellStyle name="Hyperlink" xfId="92" builtinId="8" hidden="1"/>
    <cellStyle name="Hyperlink" xfId="98" builtinId="8" hidden="1"/>
    <cellStyle name="Hyperlink" xfId="102" builtinId="8" hidden="1"/>
    <cellStyle name="Hyperlink" xfId="108" builtinId="8" hidden="1"/>
    <cellStyle name="Hyperlink" xfId="110" builtinId="8" hidden="1"/>
    <cellStyle name="Hyperlink" xfId="76" builtinId="8" hidden="1"/>
    <cellStyle name="Hyperlink" xfId="80" builtinId="8" hidden="1"/>
    <cellStyle name="Hyperlink" xfId="84" builtinId="8" hidden="1"/>
    <cellStyle name="Hyperlink" xfId="68" builtinId="8" hidden="1"/>
    <cellStyle name="Hyperlink" xfId="74" builtinId="8" hidden="1"/>
    <cellStyle name="Hyperlink" xfId="66" builtinId="8" hidden="1"/>
    <cellStyle name="Hyperlink" xfId="88" builtinId="8" hidden="1"/>
    <cellStyle name="Hyperlink" xfId="114" builtinId="8" hidden="1"/>
    <cellStyle name="Hyperlink" xfId="100" builtinId="8" hidden="1"/>
    <cellStyle name="Hyperlink" xfId="24" builtinId="8" hidden="1"/>
    <cellStyle name="Hyperlink" xfId="52" builtinId="8" hidden="1"/>
    <cellStyle name="Hyperlink" xfId="38" builtinId="8" hidden="1"/>
    <cellStyle name="Hyperlink" xfId="126" builtinId="8" hidden="1"/>
    <cellStyle name="Hyperlink" xfId="162" builtinId="8" hidden="1"/>
    <cellStyle name="Hyperlink" xfId="172" builtinId="8" hidden="1"/>
    <cellStyle name="Hyperlink" xfId="226" builtinId="8" hidden="1"/>
    <cellStyle name="Hyperlink" xfId="272" builtinId="8" hidden="1"/>
    <cellStyle name="Hyperlink" xfId="186" builtinId="8" hidden="1"/>
    <cellStyle name="Hyperlink" xfId="112" builtinId="8" hidden="1"/>
    <cellStyle name="Hyperlink" xfId="50" builtinId="8" hidden="1"/>
    <cellStyle name="Hyperlink" xfId="6" builtinId="8" hidden="1"/>
    <cellStyle name="Hyperlink" xfId="26" builtinId="8" hidden="1"/>
    <cellStyle name="Hyperlink" xfId="508" builtinId="8" hidden="1"/>
    <cellStyle name="Hyperlink" xfId="636" builtinId="8" hidden="1"/>
    <cellStyle name="Hyperlink" xfId="384" builtinId="8" hidden="1"/>
    <cellStyle name="Hyperlink" xfId="590" builtinId="8" hidden="1"/>
    <cellStyle name="Hyperlink" xfId="694" builtinId="8" hidden="1"/>
    <cellStyle name="Hyperlink" xfId="680" builtinId="8" hidden="1"/>
    <cellStyle name="Hyperlink" xfId="660" builtinId="8" hidden="1"/>
    <cellStyle name="Hyperlink" xfId="644" builtinId="8" hidden="1"/>
    <cellStyle name="Hyperlink" xfId="622" builtinId="8" hidden="1"/>
    <cellStyle name="Hyperlink" xfId="606" builtinId="8" hidden="1"/>
    <cellStyle name="Hyperlink" xfId="584" builtinId="8" hidden="1"/>
    <cellStyle name="Hyperlink" xfId="566" builtinId="8" hidden="1"/>
    <cellStyle name="Hyperlink" xfId="550" builtinId="8" hidden="1"/>
    <cellStyle name="Hyperlink" xfId="532" builtinId="8" hidden="1"/>
    <cellStyle name="Hyperlink" xfId="512" builtinId="8" hidden="1"/>
    <cellStyle name="Hyperlink" xfId="494" builtinId="8" hidden="1"/>
    <cellStyle name="Hyperlink" xfId="476" builtinId="8" hidden="1"/>
    <cellStyle name="Hyperlink" xfId="750" builtinId="8" hidden="1"/>
    <cellStyle name="Hyperlink" xfId="824" builtinId="8" hidden="1"/>
    <cellStyle name="Hyperlink" xfId="666" builtinId="8" hidden="1"/>
    <cellStyle name="Hyperlink" xfId="442" builtinId="8" hidden="1"/>
    <cellStyle name="Hyperlink" xfId="408" builtinId="8" hidden="1"/>
    <cellStyle name="Hyperlink" xfId="470" builtinId="8" hidden="1"/>
    <cellStyle name="Hyperlink" xfId="328" builtinId="8" hidden="1"/>
    <cellStyle name="Hyperlink" xfId="462" builtinId="8" hidden="1"/>
    <cellStyle name="Hyperlink" xfId="638" builtinId="8" hidden="1"/>
    <cellStyle name="Hyperlink" xfId="804" builtinId="8" hidden="1"/>
    <cellStyle name="Hyperlink" xfId="22" builtinId="8" hidden="1"/>
    <cellStyle name="Hyperlink" xfId="434" builtinId="8" hidden="1"/>
    <cellStyle name="Hyperlink" xfId="146" builtinId="8" hidden="1"/>
    <cellStyle name="Hyperlink" xfId="200" builtinId="8" hidden="1"/>
    <cellStyle name="Hyperlink" xfId="258" builtinId="8" hidden="1"/>
    <cellStyle name="Hyperlink" xfId="218" builtinId="8" hidden="1"/>
    <cellStyle name="Hyperlink" xfId="808" builtinId="8" hidden="1"/>
    <cellStyle name="Hyperlink" xfId="690" builtinId="8" hidden="1"/>
    <cellStyle name="Hyperlink" xfId="554" builtinId="8" hidden="1"/>
    <cellStyle name="Hyperlink" xfId="806" builtinId="8" hidden="1"/>
    <cellStyle name="Hyperlink" xfId="702" builtinId="8" hidden="1"/>
    <cellStyle name="Hyperlink" xfId="716" builtinId="8" hidden="1"/>
    <cellStyle name="Hyperlink" xfId="736" builtinId="8" hidden="1"/>
    <cellStyle name="Hyperlink" xfId="798" builtinId="8" hidden="1"/>
    <cellStyle name="Hyperlink" xfId="780" builtinId="8" hidden="1"/>
    <cellStyle name="Hyperlink" xfId="764" builtinId="8" hidden="1"/>
    <cellStyle name="Hyperlink" xfId="522" builtinId="8" hidden="1"/>
    <cellStyle name="Hyperlink" xfId="586" builtinId="8" hidden="1"/>
    <cellStyle name="Hyperlink" xfId="642" builtinId="8" hidden="1"/>
    <cellStyle name="Hyperlink" xfId="706" builtinId="8" hidden="1"/>
    <cellStyle name="Hyperlink" xfId="770" builtinId="8" hidden="1"/>
    <cellStyle name="Hyperlink" xfId="818" builtinId="8" hidden="1"/>
    <cellStyle name="Hyperlink" xfId="760" builtinId="8" hidden="1"/>
    <cellStyle name="Hyperlink" xfId="762" builtinId="8" hidden="1"/>
    <cellStyle name="Hyperlink" xfId="634" builtinId="8" hidden="1"/>
    <cellStyle name="Hyperlink" xfId="506" builtinId="8" hidden="1"/>
    <cellStyle name="Hyperlink" xfId="180" builtinId="8" hidden="1"/>
    <cellStyle name="Hyperlink" xfId="216" builtinId="8" hidden="1"/>
    <cellStyle name="Hyperlink" xfId="290" builtinId="8" hidden="1"/>
    <cellStyle name="Hyperlink" xfId="62" builtinId="8" hidden="1"/>
    <cellStyle name="Hyperlink" xfId="96" builtinId="8" hidden="1"/>
    <cellStyle name="Hyperlink" xfId="60" builtinId="8" hidden="1"/>
    <cellStyle name="Hyperlink" xfId="2" builtinId="8" hidden="1"/>
    <cellStyle name="Hyperlink" xfId="56" builtinId="8" hidden="1"/>
    <cellStyle name="Hyperlink" xfId="46" builtinId="8" hidden="1"/>
    <cellStyle name="Hyperlink" xfId="36" builtinId="8" hidden="1"/>
    <cellStyle name="Hyperlink" xfId="116" builtinId="8" hidden="1"/>
    <cellStyle name="Hyperlink" xfId="106" builtinId="8" hidden="1"/>
    <cellStyle name="Hyperlink" xfId="94" builtinId="8" hidden="1"/>
    <cellStyle name="Hyperlink" xfId="72" builtinId="8" hidden="1"/>
    <cellStyle name="Hyperlink" xfId="498" builtinId="8" hidden="1"/>
    <cellStyle name="Hyperlink" xfId="482" builtinId="8" hidden="1"/>
    <cellStyle name="Hyperlink" xfId="458" builtinId="8" hidden="1"/>
    <cellStyle name="Hyperlink" xfId="450" builtinId="8" hidden="1"/>
    <cellStyle name="Hyperlink" xfId="426" builtinId="8" hidden="1"/>
    <cellStyle name="Hyperlink" xfId="418" builtinId="8" hidden="1"/>
    <cellStyle name="Hyperlink" xfId="402" builtinId="8" hidden="1"/>
    <cellStyle name="Hyperlink" xfId="362" builtinId="8" hidden="1"/>
    <cellStyle name="Hyperlink" xfId="354" builtinId="8" hidden="1"/>
    <cellStyle name="Hyperlink" xfId="330" builtinId="8" hidden="1"/>
    <cellStyle name="Hyperlink" xfId="322" builtinId="8" hidden="1"/>
    <cellStyle name="Hyperlink" xfId="306" builtinId="8" hidden="1"/>
    <cellStyle name="Hyperlink" xfId="136" builtinId="8" hidden="1"/>
    <cellStyle name="Hyperlink" xfId="140" builtinId="8" hidden="1"/>
    <cellStyle name="Hyperlink" xfId="148" builtinId="8" hidden="1"/>
    <cellStyle name="Hyperlink" xfId="150" builtinId="8" hidden="1"/>
    <cellStyle name="Hyperlink" xfId="158" builtinId="8" hidden="1"/>
    <cellStyle name="Hyperlink" xfId="164" builtinId="8" hidden="1"/>
    <cellStyle name="Hyperlink" xfId="166" builtinId="8" hidden="1"/>
    <cellStyle name="Hyperlink" xfId="168" builtinId="8" hidden="1"/>
    <cellStyle name="Hyperlink" xfId="176" builtinId="8" hidden="1"/>
    <cellStyle name="Hyperlink" xfId="184" builtinId="8" hidden="1"/>
    <cellStyle name="Hyperlink" xfId="192" builtinId="8" hidden="1"/>
    <cellStyle name="Hyperlink" xfId="194" builtinId="8" hidden="1"/>
    <cellStyle name="Hyperlink" xfId="196" builtinId="8" hidden="1"/>
    <cellStyle name="Hyperlink" xfId="206" builtinId="8" hidden="1"/>
    <cellStyle name="Hyperlink" xfId="210" builtinId="8" hidden="1"/>
    <cellStyle name="Hyperlink" xfId="212" builtinId="8" hidden="1"/>
    <cellStyle name="Hyperlink" xfId="222" builtinId="8" hidden="1"/>
    <cellStyle name="Hyperlink" xfId="224" builtinId="8" hidden="1"/>
    <cellStyle name="Hyperlink" xfId="232" builtinId="8" hidden="1"/>
    <cellStyle name="Hyperlink" xfId="238" builtinId="8" hidden="1"/>
    <cellStyle name="Hyperlink" xfId="240" builtinId="8" hidden="1"/>
    <cellStyle name="Hyperlink" xfId="246" builtinId="8" hidden="1"/>
    <cellStyle name="Hyperlink" xfId="248" builtinId="8" hidden="1"/>
    <cellStyle name="Hyperlink" xfId="260" builtinId="8" hidden="1"/>
    <cellStyle name="Hyperlink" xfId="264" builtinId="8" hidden="1"/>
    <cellStyle name="Hyperlink" xfId="268" builtinId="8" hidden="1"/>
    <cellStyle name="Hyperlink" xfId="274" builtinId="8" hidden="1"/>
    <cellStyle name="Hyperlink" xfId="278" builtinId="8" hidden="1"/>
    <cellStyle name="Hyperlink" xfId="284" builtinId="8" hidden="1"/>
    <cellStyle name="Hyperlink" xfId="288" builtinId="8" hidden="1"/>
    <cellStyle name="Hyperlink" xfId="294" builtinId="8" hidden="1"/>
    <cellStyle name="Hyperlink" xfId="282" builtinId="8" hidden="1"/>
    <cellStyle name="Hyperlink" xfId="266" builtinId="8" hidden="1"/>
    <cellStyle name="Hyperlink" xfId="234" builtinId="8" hidden="1"/>
    <cellStyle name="Hyperlink" xfId="202" builtinId="8" hidden="1"/>
    <cellStyle name="Hyperlink" xfId="170" builtinId="8" hidden="1"/>
    <cellStyle name="Hyperlink" xfId="154" builtinId="8" hidden="1"/>
    <cellStyle name="Hyperlink" xfId="298" builtinId="8" hidden="1"/>
    <cellStyle name="Hyperlink" xfId="276" builtinId="8" hidden="1"/>
    <cellStyle name="Hyperlink" xfId="228" builtinId="8" hidden="1"/>
    <cellStyle name="Hyperlink" xfId="204" builtinId="8" hidden="1"/>
    <cellStyle name="Hyperlink" xfId="178" builtinId="8" hidden="1"/>
    <cellStyle name="Hyperlink" xfId="130" builtinId="8" hidden="1"/>
    <cellStyle name="Hyperlink" xfId="386" builtinId="8" hidden="1"/>
    <cellStyle name="Hyperlink" xfId="812" builtinId="8" hidden="1"/>
    <cellStyle name="Hyperlink" xfId="466" builtinId="8" hidden="1"/>
    <cellStyle name="Hyperlink" xfId="138" builtinId="8" hidden="1"/>
    <cellStyle name="Hyperlink" xfId="292" builtinId="8" hidden="1"/>
    <cellStyle name="Hyperlink" xfId="256" builtinId="8" hidden="1"/>
    <cellStyle name="Hyperlink" xfId="220" builtinId="8" hidden="1"/>
    <cellStyle name="Hyperlink" xfId="182" builtinId="8" hidden="1"/>
    <cellStyle name="Hyperlink" xfId="142" builtinId="8" hidden="1"/>
    <cellStyle name="Hyperlink" xfId="370" builtinId="8" hidden="1"/>
    <cellStyle name="Hyperlink" xfId="514" builtinId="8" hidden="1"/>
    <cellStyle name="Hyperlink" xfId="10" builtinId="8" hidden="1"/>
    <cellStyle name="Hyperlink" xfId="144" builtinId="8" hidden="1"/>
    <cellStyle name="Hyperlink" xfId="334" builtinId="8" hidden="1"/>
    <cellStyle name="Hyperlink" xfId="310" builtinId="8" hidden="1"/>
    <cellStyle name="Hyperlink" xfId="316" builtinId="8" hidden="1"/>
    <cellStyle name="Hyperlink" xfId="304" builtinId="8" hidden="1"/>
    <cellStyle name="Hyperlink" xfId="308" builtinId="8" hidden="1"/>
    <cellStyle name="Hyperlink" xfId="318" builtinId="8" hidden="1"/>
    <cellStyle name="Hyperlink" xfId="336" builtinId="8" hidden="1"/>
    <cellStyle name="Hyperlink" xfId="326" builtinId="8" hidden="1"/>
    <cellStyle name="Hyperlink" xfId="366" builtinId="8" hidden="1"/>
    <cellStyle name="Hyperlink" xfId="356" builtinId="8" hidden="1"/>
    <cellStyle name="Hyperlink" xfId="344" builtinId="8" hidden="1"/>
    <cellStyle name="Hyperlink" xfId="460" builtinId="8" hidden="1"/>
    <cellStyle name="Hyperlink" xfId="448" builtinId="8" hidden="1"/>
    <cellStyle name="Hyperlink" xfId="438" builtinId="8" hidden="1"/>
    <cellStyle name="Hyperlink" xfId="404" builtinId="8" hidden="1"/>
    <cellStyle name="Hyperlink" xfId="392" builtinId="8" hidden="1"/>
    <cellStyle name="Hyperlink" xfId="548" builtinId="8" hidden="1"/>
    <cellStyle name="Hyperlink" xfId="632" builtinId="8" hidden="1"/>
    <cellStyle name="Hyperlink" xfId="700" builtinId="8" hidden="1"/>
    <cellStyle name="Hyperlink" xfId="672" builtinId="8" hidden="1"/>
    <cellStyle name="Hyperlink" xfId="662" builtinId="8" hidden="1"/>
    <cellStyle name="Hyperlink" xfId="648" builtinId="8" hidden="1"/>
    <cellStyle name="Hyperlink" xfId="624" builtinId="8" hidden="1"/>
    <cellStyle name="Hyperlink" xfId="614" builtinId="8" hidden="1"/>
    <cellStyle name="Hyperlink" xfId="600" builtinId="8" hidden="1"/>
    <cellStyle name="Hyperlink" xfId="576" builtinId="8" hidden="1"/>
    <cellStyle name="Hyperlink" xfId="564" builtinId="8" hidden="1"/>
    <cellStyle name="Hyperlink" xfId="552" builtinId="8" hidden="1"/>
    <cellStyle name="Hyperlink" xfId="528" builtinId="8" hidden="1"/>
    <cellStyle name="Hyperlink" xfId="502" builtinId="8" hidden="1"/>
    <cellStyle name="Hyperlink" xfId="478" builtinId="8" hidden="1"/>
    <cellStyle name="Hyperlink" xfId="718" builtinId="8" hidden="1"/>
    <cellStyle name="Hyperlink" xfId="516" builtinId="8" hidden="1"/>
    <cellStyle name="Hyperlink" xfId="414" builtinId="8" hidden="1"/>
    <cellStyle name="Hyperlink" xfId="456" builtinId="8" hidden="1"/>
    <cellStyle name="Hyperlink" xfId="464" builtinId="8" hidden="1"/>
    <cellStyle name="Hyperlink" xfId="468" builtinId="8" hidden="1"/>
    <cellStyle name="Hyperlink" xfId="420" builtinId="8" hidden="1"/>
    <cellStyle name="Hyperlink" xfId="340" builtinId="8" hidden="1"/>
    <cellStyle name="Hyperlink" xfId="342" builtinId="8" hidden="1"/>
    <cellStyle name="Hyperlink" xfId="350" builtinId="8" hidden="1"/>
    <cellStyle name="Hyperlink" xfId="352" builtinId="8" hidden="1"/>
    <cellStyle name="Hyperlink" xfId="358" builtinId="8" hidden="1"/>
    <cellStyle name="Hyperlink" xfId="364" builtinId="8" hidden="1"/>
    <cellStyle name="Hyperlink" xfId="368" builtinId="8" hidden="1"/>
    <cellStyle name="Hyperlink" xfId="372" builtinId="8" hidden="1"/>
    <cellStyle name="Hyperlink" xfId="376" builtinId="8" hidden="1"/>
    <cellStyle name="Hyperlink" xfId="320" builtinId="8" hidden="1"/>
    <cellStyle name="Hyperlink" xfId="332" builtinId="8" hidden="1"/>
    <cellStyle name="Hyperlink" xfId="324" builtinId="8" hidden="1"/>
    <cellStyle name="Hyperlink" xfId="422" builtinId="8" hidden="1"/>
    <cellStyle name="Hyperlink" xfId="430" builtinId="8" hidden="1"/>
    <cellStyle name="Hyperlink" xfId="432" builtinId="8" hidden="1"/>
    <cellStyle name="Hyperlink" xfId="436" builtinId="8" hidden="1"/>
    <cellStyle name="Hyperlink" xfId="444" builtinId="8" hidden="1"/>
    <cellStyle name="Hyperlink" xfId="446" builtinId="8" hidden="1"/>
    <cellStyle name="Hyperlink" xfId="452" builtinId="8" hidden="1"/>
    <cellStyle name="Hyperlink" xfId="400" builtinId="8" hidden="1"/>
    <cellStyle name="Hyperlink" xfId="406" builtinId="8" hidden="1"/>
    <cellStyle name="Hyperlink" xfId="412" builtinId="8" hidden="1"/>
    <cellStyle name="Hyperlink" xfId="416" builtinId="8" hidden="1"/>
    <cellStyle name="Hyperlink" xfId="390" builtinId="8" hidden="1"/>
    <cellStyle name="Hyperlink" xfId="398" builtinId="8" hidden="1"/>
    <cellStyle name="Hyperlink" xfId="388" builtinId="8" hidden="1"/>
    <cellStyle name="Normal" xfId="0" builtinId="0"/>
  </cellStyles>
  <dxfs count="0"/>
  <tableStyles count="0" defaultTableStyle="TableStyleMedium9" defaultPivotStyle="PivotStyleMedium4"/>
  <colors>
    <mruColors>
      <color rgb="FFFF21E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5256443</xdr:colOff>
      <xdr:row>2</xdr:row>
      <xdr:rowOff>104664</xdr:rowOff>
    </xdr:from>
    <xdr:to>
      <xdr:col>1</xdr:col>
      <xdr:colOff>5257462</xdr:colOff>
      <xdr:row>2</xdr:row>
      <xdr:rowOff>245270</xdr:rowOff>
    </xdr:to>
    <xdr:pic>
      <xdr:nvPicPr>
        <xdr:cNvPr id="2" name="Picture 1" descr="reserve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612043" y="460264"/>
          <a:ext cx="1019" cy="88218"/>
        </a:xfrm>
        <a:prstGeom prst="rect">
          <a:avLst/>
        </a:prstGeom>
        <a:ln w="114300">
          <a:noFill/>
        </a:ln>
        <a:effectLst/>
      </xdr:spPr>
    </xdr:pic>
    <xdr:clientData/>
  </xdr:twoCellAnchor>
  <xdr:twoCellAnchor editAs="oneCell">
    <xdr:from>
      <xdr:col>1</xdr:col>
      <xdr:colOff>5691186</xdr:colOff>
      <xdr:row>2</xdr:row>
      <xdr:rowOff>142876</xdr:rowOff>
    </xdr:from>
    <xdr:to>
      <xdr:col>1</xdr:col>
      <xdr:colOff>7285036</xdr:colOff>
      <xdr:row>3</xdr:row>
      <xdr:rowOff>57151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8374" y="523876"/>
          <a:ext cx="1600200"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E265"/>
  <sheetViews>
    <sheetView showGridLines="0" topLeftCell="A70" zoomScale="110" zoomScaleNormal="110" workbookViewId="0">
      <selection activeCell="B9" sqref="B9"/>
    </sheetView>
  </sheetViews>
  <sheetFormatPr defaultColWidth="8.83203125" defaultRowHeight="12.5" x14ac:dyDescent="0.25"/>
  <cols>
    <col min="1" max="1" width="4.58203125" style="402" customWidth="1"/>
    <col min="2" max="2" width="157.75" style="20" customWidth="1"/>
    <col min="3" max="3" width="11.33203125" style="402" customWidth="1"/>
    <col min="4" max="4" width="31.5" style="402" customWidth="1"/>
    <col min="5" max="5" width="4.58203125" style="402" customWidth="1"/>
    <col min="6" max="8" width="9.08203125" style="402" customWidth="1"/>
    <col min="9" max="31" width="8.83203125" style="402"/>
    <col min="32" max="16384" width="8.83203125" style="20"/>
  </cols>
  <sheetData>
    <row r="1" spans="1:31" s="397" customFormat="1" ht="13" x14ac:dyDescent="0.3">
      <c r="A1" s="402"/>
      <c r="B1" s="398"/>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row>
    <row r="2" spans="1:31" s="397" customFormat="1" ht="16" thickBot="1" x14ac:dyDescent="0.4">
      <c r="A2" s="402"/>
      <c r="B2" s="399" t="s">
        <v>323</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row>
    <row r="3" spans="1:31" ht="101.25" customHeight="1" x14ac:dyDescent="0.25">
      <c r="B3" s="458" t="s">
        <v>324</v>
      </c>
    </row>
    <row r="4" spans="1:31" ht="13" x14ac:dyDescent="0.3">
      <c r="B4" s="400"/>
    </row>
    <row r="5" spans="1:31" ht="15.5" x14ac:dyDescent="0.25">
      <c r="B5" s="401" t="s">
        <v>327</v>
      </c>
    </row>
    <row r="6" spans="1:31" ht="15.5" x14ac:dyDescent="0.35">
      <c r="B6" s="716" t="s">
        <v>326</v>
      </c>
    </row>
    <row r="7" spans="1:31" ht="57.5" customHeight="1" x14ac:dyDescent="0.25">
      <c r="B7" s="414" t="s">
        <v>1014</v>
      </c>
    </row>
    <row r="8" spans="1:31" ht="57.5" customHeight="1" x14ac:dyDescent="0.25">
      <c r="B8" s="717" t="s">
        <v>328</v>
      </c>
    </row>
    <row r="9" spans="1:31" ht="15.5" x14ac:dyDescent="0.25">
      <c r="B9" s="401"/>
    </row>
    <row r="10" spans="1:31" x14ac:dyDescent="0.25">
      <c r="B10" s="403" t="s">
        <v>0</v>
      </c>
    </row>
    <row r="11" spans="1:31" ht="13" x14ac:dyDescent="0.25">
      <c r="B11" s="404" t="s">
        <v>329</v>
      </c>
    </row>
    <row r="12" spans="1:31" x14ac:dyDescent="0.25">
      <c r="B12" s="403" t="s">
        <v>1</v>
      </c>
    </row>
    <row r="13" spans="1:31" ht="13" x14ac:dyDescent="0.25">
      <c r="B13" s="404" t="s">
        <v>330</v>
      </c>
    </row>
    <row r="14" spans="1:31" ht="32.5" customHeight="1" x14ac:dyDescent="0.25">
      <c r="B14" s="403" t="s">
        <v>2</v>
      </c>
    </row>
    <row r="15" spans="1:31" ht="13" x14ac:dyDescent="0.25">
      <c r="B15" s="404" t="s">
        <v>331</v>
      </c>
    </row>
    <row r="16" spans="1:31" ht="30" customHeight="1" x14ac:dyDescent="0.25">
      <c r="B16" s="403" t="s">
        <v>3</v>
      </c>
    </row>
    <row r="17" spans="2:2" ht="13" x14ac:dyDescent="0.25">
      <c r="B17" s="404" t="s">
        <v>332</v>
      </c>
    </row>
    <row r="18" spans="2:2" ht="26" x14ac:dyDescent="0.25">
      <c r="B18" s="403" t="s">
        <v>4</v>
      </c>
    </row>
    <row r="19" spans="2:2" ht="26" x14ac:dyDescent="0.25">
      <c r="B19" s="404" t="s">
        <v>333</v>
      </c>
    </row>
    <row r="20" spans="2:2" x14ac:dyDescent="0.25">
      <c r="B20" s="403" t="s">
        <v>5</v>
      </c>
    </row>
    <row r="21" spans="2:2" ht="13" x14ac:dyDescent="0.25">
      <c r="B21" s="404" t="s">
        <v>334</v>
      </c>
    </row>
    <row r="22" spans="2:2" ht="25" x14ac:dyDescent="0.25">
      <c r="B22" s="403" t="s">
        <v>6</v>
      </c>
    </row>
    <row r="23" spans="2:2" ht="13" x14ac:dyDescent="0.25">
      <c r="B23" s="404" t="s">
        <v>335</v>
      </c>
    </row>
    <row r="24" spans="2:2" x14ac:dyDescent="0.25">
      <c r="B24" s="403" t="s">
        <v>7</v>
      </c>
    </row>
    <row r="25" spans="2:2" ht="13" x14ac:dyDescent="0.25">
      <c r="B25" s="404" t="s">
        <v>336</v>
      </c>
    </row>
    <row r="26" spans="2:2" x14ac:dyDescent="0.25">
      <c r="B26" s="403" t="s">
        <v>8</v>
      </c>
    </row>
    <row r="27" spans="2:2" ht="13" x14ac:dyDescent="0.25">
      <c r="B27" s="404" t="s">
        <v>337</v>
      </c>
    </row>
    <row r="28" spans="2:2" x14ac:dyDescent="0.25">
      <c r="B28" s="403" t="s">
        <v>9</v>
      </c>
    </row>
    <row r="29" spans="2:2" ht="13" x14ac:dyDescent="0.25">
      <c r="B29" s="404" t="s">
        <v>338</v>
      </c>
    </row>
    <row r="30" spans="2:2" ht="25" x14ac:dyDescent="0.25">
      <c r="B30" s="403" t="s">
        <v>10</v>
      </c>
    </row>
    <row r="31" spans="2:2" ht="13" x14ac:dyDescent="0.25">
      <c r="B31" s="404" t="s">
        <v>339</v>
      </c>
    </row>
    <row r="32" spans="2:2" x14ac:dyDescent="0.25">
      <c r="B32" s="403" t="s">
        <v>11</v>
      </c>
    </row>
    <row r="33" spans="2:2" ht="13" x14ac:dyDescent="0.25">
      <c r="B33" s="404" t="s">
        <v>340</v>
      </c>
    </row>
    <row r="34" spans="2:2" x14ac:dyDescent="0.25">
      <c r="B34" s="403" t="s">
        <v>12</v>
      </c>
    </row>
    <row r="35" spans="2:2" ht="13" x14ac:dyDescent="0.25">
      <c r="B35" s="404" t="s">
        <v>341</v>
      </c>
    </row>
    <row r="36" spans="2:2" ht="13" x14ac:dyDescent="0.25">
      <c r="B36" s="404"/>
    </row>
    <row r="37" spans="2:2" ht="13" x14ac:dyDescent="0.25">
      <c r="B37" s="405" t="s">
        <v>13</v>
      </c>
    </row>
    <row r="38" spans="2:2" ht="13" x14ac:dyDescent="0.25">
      <c r="B38" s="718" t="s">
        <v>342</v>
      </c>
    </row>
    <row r="39" spans="2:2" x14ac:dyDescent="0.25">
      <c r="B39" s="403" t="s">
        <v>14</v>
      </c>
    </row>
    <row r="40" spans="2:2" ht="13" x14ac:dyDescent="0.25">
      <c r="B40" s="404" t="s">
        <v>343</v>
      </c>
    </row>
    <row r="41" spans="2:2" x14ac:dyDescent="0.25">
      <c r="B41" s="406"/>
    </row>
    <row r="42" spans="2:2" ht="13" x14ac:dyDescent="0.25">
      <c r="B42" s="407" t="s">
        <v>15</v>
      </c>
    </row>
    <row r="43" spans="2:2" ht="13" x14ac:dyDescent="0.25">
      <c r="B43" s="719" t="s">
        <v>344</v>
      </c>
    </row>
    <row r="44" spans="2:2" x14ac:dyDescent="0.25">
      <c r="B44" s="408" t="s">
        <v>16</v>
      </c>
    </row>
    <row r="45" spans="2:2" x14ac:dyDescent="0.25">
      <c r="B45" s="409" t="s">
        <v>17</v>
      </c>
    </row>
    <row r="46" spans="2:2" ht="13" x14ac:dyDescent="0.3">
      <c r="B46" s="720" t="s">
        <v>345</v>
      </c>
    </row>
    <row r="47" spans="2:2" x14ac:dyDescent="0.25">
      <c r="B47" s="409" t="s">
        <v>18</v>
      </c>
    </row>
    <row r="48" spans="2:2" ht="13" x14ac:dyDescent="0.3">
      <c r="B48" s="720" t="s">
        <v>346</v>
      </c>
    </row>
    <row r="49" spans="1:31" ht="13" x14ac:dyDescent="0.3">
      <c r="B49" s="410"/>
    </row>
    <row r="50" spans="1:31" ht="13" x14ac:dyDescent="0.3">
      <c r="B50" s="410" t="s">
        <v>19</v>
      </c>
    </row>
    <row r="51" spans="1:31" ht="13" x14ac:dyDescent="0.3">
      <c r="B51" s="721" t="s">
        <v>347</v>
      </c>
    </row>
    <row r="52" spans="1:31" x14ac:dyDescent="0.25">
      <c r="B52" s="411"/>
    </row>
    <row r="53" spans="1:31" x14ac:dyDescent="0.25">
      <c r="B53" s="411" t="s">
        <v>20</v>
      </c>
    </row>
    <row r="54" spans="1:31" ht="13" x14ac:dyDescent="0.3">
      <c r="B54" s="722" t="s">
        <v>348</v>
      </c>
    </row>
    <row r="55" spans="1:31" x14ac:dyDescent="0.25">
      <c r="B55" s="411"/>
    </row>
    <row r="56" spans="1:31" ht="13" x14ac:dyDescent="0.3">
      <c r="B56" s="410" t="s">
        <v>21</v>
      </c>
    </row>
    <row r="57" spans="1:31" ht="13" x14ac:dyDescent="0.3">
      <c r="B57" s="189" t="s">
        <v>349</v>
      </c>
    </row>
    <row r="58" spans="1:31" x14ac:dyDescent="0.25">
      <c r="B58" s="707" t="s">
        <v>360</v>
      </c>
    </row>
    <row r="59" spans="1:31" s="19" customFormat="1" ht="13" x14ac:dyDescent="0.3">
      <c r="A59" s="724"/>
      <c r="B59" s="725" t="s">
        <v>350</v>
      </c>
      <c r="C59" s="724"/>
      <c r="D59" s="724"/>
      <c r="E59" s="724"/>
      <c r="F59" s="724"/>
      <c r="G59" s="724"/>
      <c r="H59" s="724"/>
      <c r="I59" s="724"/>
      <c r="J59" s="724"/>
      <c r="K59" s="724"/>
      <c r="L59" s="724"/>
      <c r="M59" s="724"/>
      <c r="N59" s="724"/>
      <c r="O59" s="724"/>
      <c r="P59" s="724"/>
      <c r="Q59" s="724"/>
      <c r="R59" s="724"/>
      <c r="S59" s="724"/>
      <c r="T59" s="724"/>
      <c r="U59" s="724"/>
      <c r="V59" s="724"/>
      <c r="W59" s="724"/>
      <c r="X59" s="724"/>
      <c r="Y59" s="724"/>
      <c r="Z59" s="724"/>
      <c r="AA59" s="724"/>
      <c r="AB59" s="724"/>
      <c r="AC59" s="724"/>
      <c r="AD59" s="724"/>
      <c r="AE59" s="724"/>
    </row>
    <row r="60" spans="1:31" x14ac:dyDescent="0.25">
      <c r="B60" s="708" t="s">
        <v>358</v>
      </c>
    </row>
    <row r="61" spans="1:31" s="19" customFormat="1" ht="13" x14ac:dyDescent="0.3">
      <c r="A61" s="724"/>
      <c r="B61" s="726" t="s">
        <v>351</v>
      </c>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row>
    <row r="62" spans="1:31" x14ac:dyDescent="0.25">
      <c r="B62" s="709" t="s">
        <v>359</v>
      </c>
    </row>
    <row r="63" spans="1:31" s="19" customFormat="1" ht="13" x14ac:dyDescent="0.3">
      <c r="A63" s="724"/>
      <c r="B63" s="727" t="s">
        <v>352</v>
      </c>
      <c r="C63" s="724"/>
      <c r="D63" s="724"/>
      <c r="E63" s="724"/>
      <c r="F63" s="724"/>
      <c r="G63" s="724"/>
      <c r="H63" s="724"/>
      <c r="I63" s="724"/>
      <c r="J63" s="724"/>
      <c r="K63" s="724"/>
      <c r="L63" s="724"/>
      <c r="M63" s="724"/>
      <c r="N63" s="724"/>
      <c r="O63" s="724"/>
      <c r="P63" s="724"/>
      <c r="Q63" s="724"/>
      <c r="R63" s="724"/>
      <c r="S63" s="724"/>
      <c r="T63" s="724"/>
      <c r="U63" s="724"/>
      <c r="V63" s="724"/>
      <c r="W63" s="724"/>
      <c r="X63" s="724"/>
      <c r="Y63" s="724"/>
      <c r="Z63" s="724"/>
      <c r="AA63" s="724"/>
      <c r="AB63" s="724"/>
      <c r="AC63" s="724"/>
      <c r="AD63" s="724"/>
      <c r="AE63" s="724"/>
    </row>
    <row r="64" spans="1:31" x14ac:dyDescent="0.25">
      <c r="B64" s="710" t="s">
        <v>361</v>
      </c>
    </row>
    <row r="65" spans="1:31" s="19" customFormat="1" ht="13" x14ac:dyDescent="0.3">
      <c r="A65" s="724"/>
      <c r="B65" s="728" t="s">
        <v>353</v>
      </c>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row>
    <row r="66" spans="1:31" x14ac:dyDescent="0.25">
      <c r="B66" s="711" t="s">
        <v>362</v>
      </c>
    </row>
    <row r="67" spans="1:31" s="19" customFormat="1" ht="13" x14ac:dyDescent="0.3">
      <c r="A67" s="724"/>
      <c r="B67" s="729" t="s">
        <v>354</v>
      </c>
      <c r="C67" s="724"/>
      <c r="D67" s="724"/>
      <c r="E67" s="724"/>
      <c r="F67" s="724"/>
      <c r="G67" s="724"/>
      <c r="H67" s="724"/>
      <c r="I67" s="724"/>
      <c r="J67" s="724"/>
      <c r="K67" s="724"/>
      <c r="L67" s="724"/>
      <c r="M67" s="724"/>
      <c r="N67" s="724"/>
      <c r="O67" s="724"/>
      <c r="P67" s="724"/>
      <c r="Q67" s="724"/>
      <c r="R67" s="724"/>
      <c r="S67" s="724"/>
      <c r="T67" s="724"/>
      <c r="U67" s="724"/>
      <c r="V67" s="724"/>
      <c r="W67" s="724"/>
      <c r="X67" s="724"/>
      <c r="Y67" s="724"/>
      <c r="Z67" s="724"/>
      <c r="AA67" s="724"/>
      <c r="AB67" s="724"/>
      <c r="AC67" s="724"/>
      <c r="AD67" s="724"/>
      <c r="AE67" s="724"/>
    </row>
    <row r="68" spans="1:31" x14ac:dyDescent="0.25">
      <c r="B68" s="712" t="s">
        <v>363</v>
      </c>
    </row>
    <row r="69" spans="1:31" s="19" customFormat="1" ht="13" x14ac:dyDescent="0.3">
      <c r="A69" s="724"/>
      <c r="B69" s="730" t="s">
        <v>364</v>
      </c>
      <c r="C69" s="724"/>
      <c r="D69" s="724"/>
      <c r="E69" s="724"/>
      <c r="F69" s="724"/>
      <c r="G69" s="724"/>
      <c r="H69" s="724"/>
      <c r="I69" s="724"/>
      <c r="J69" s="724"/>
      <c r="K69" s="724"/>
      <c r="L69" s="724"/>
      <c r="M69" s="724"/>
      <c r="N69" s="724"/>
      <c r="O69" s="724"/>
      <c r="P69" s="724"/>
      <c r="Q69" s="724"/>
      <c r="R69" s="724"/>
      <c r="S69" s="724"/>
      <c r="T69" s="724"/>
      <c r="U69" s="724"/>
      <c r="V69" s="724"/>
      <c r="W69" s="724"/>
      <c r="X69" s="724"/>
      <c r="Y69" s="724"/>
      <c r="Z69" s="724"/>
      <c r="AA69" s="724"/>
      <c r="AB69" s="724"/>
      <c r="AC69" s="724"/>
      <c r="AD69" s="724"/>
      <c r="AE69" s="724"/>
    </row>
    <row r="70" spans="1:31" ht="26" customHeight="1" x14ac:dyDescent="0.25">
      <c r="B70" s="713" t="s">
        <v>325</v>
      </c>
    </row>
    <row r="71" spans="1:31" ht="13" x14ac:dyDescent="0.25">
      <c r="B71" s="731" t="s">
        <v>355</v>
      </c>
    </row>
    <row r="72" spans="1:31" x14ac:dyDescent="0.25">
      <c r="B72" s="714" t="s">
        <v>365</v>
      </c>
    </row>
    <row r="73" spans="1:31" ht="13" x14ac:dyDescent="0.25">
      <c r="A73" s="397"/>
      <c r="B73" s="732" t="s">
        <v>356</v>
      </c>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row>
    <row r="74" spans="1:31" x14ac:dyDescent="0.25">
      <c r="A74" s="397"/>
      <c r="B74" s="715" t="s">
        <v>366</v>
      </c>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row>
    <row r="75" spans="1:31" ht="13" x14ac:dyDescent="0.25">
      <c r="A75" s="397"/>
      <c r="B75" s="723" t="s">
        <v>357</v>
      </c>
      <c r="C75" s="397"/>
      <c r="D75" s="397"/>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row>
    <row r="76" spans="1:31" x14ac:dyDescent="0.25">
      <c r="A76" s="397"/>
      <c r="B76" s="411"/>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row>
    <row r="77" spans="1:31" ht="54.5" customHeight="1" x14ac:dyDescent="0.25">
      <c r="A77" s="397"/>
      <c r="B77" s="733" t="s">
        <v>1015</v>
      </c>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row>
    <row r="78" spans="1:31" ht="52.5" customHeight="1" x14ac:dyDescent="0.25">
      <c r="A78" s="397"/>
      <c r="B78" s="733" t="s">
        <v>367</v>
      </c>
      <c r="C78" s="397"/>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row>
    <row r="79" spans="1:31" ht="13" thickBot="1" x14ac:dyDescent="0.3">
      <c r="B79" s="412"/>
    </row>
    <row r="80" spans="1:31" x14ac:dyDescent="0.25">
      <c r="B80" s="397"/>
    </row>
    <row r="81" spans="2:2" x14ac:dyDescent="0.25">
      <c r="B81" s="397"/>
    </row>
    <row r="82" spans="2:2" x14ac:dyDescent="0.25">
      <c r="B82" s="397"/>
    </row>
    <row r="83" spans="2:2" x14ac:dyDescent="0.25">
      <c r="B83" s="397"/>
    </row>
    <row r="84" spans="2:2" x14ac:dyDescent="0.25">
      <c r="B84" s="397"/>
    </row>
    <row r="85" spans="2:2" x14ac:dyDescent="0.25">
      <c r="B85" s="397"/>
    </row>
    <row r="86" spans="2:2" x14ac:dyDescent="0.25">
      <c r="B86" s="397"/>
    </row>
    <row r="87" spans="2:2" x14ac:dyDescent="0.25">
      <c r="B87" s="397"/>
    </row>
    <row r="88" spans="2:2" x14ac:dyDescent="0.25">
      <c r="B88" s="397"/>
    </row>
    <row r="89" spans="2:2" x14ac:dyDescent="0.25">
      <c r="B89" s="397"/>
    </row>
    <row r="90" spans="2:2" x14ac:dyDescent="0.25">
      <c r="B90" s="397"/>
    </row>
    <row r="91" spans="2:2" x14ac:dyDescent="0.25">
      <c r="B91" s="397"/>
    </row>
    <row r="92" spans="2:2" x14ac:dyDescent="0.25">
      <c r="B92" s="397"/>
    </row>
    <row r="93" spans="2:2" x14ac:dyDescent="0.25">
      <c r="B93" s="397"/>
    </row>
    <row r="94" spans="2:2" x14ac:dyDescent="0.25">
      <c r="B94" s="397"/>
    </row>
    <row r="95" spans="2:2" x14ac:dyDescent="0.25">
      <c r="B95" s="397"/>
    </row>
    <row r="96" spans="2:2" x14ac:dyDescent="0.25">
      <c r="B96" s="397"/>
    </row>
    <row r="97" spans="2:2" x14ac:dyDescent="0.25">
      <c r="B97" s="397"/>
    </row>
    <row r="98" spans="2:2" x14ac:dyDescent="0.25">
      <c r="B98" s="397"/>
    </row>
    <row r="99" spans="2:2" x14ac:dyDescent="0.25">
      <c r="B99" s="397"/>
    </row>
    <row r="100" spans="2:2" x14ac:dyDescent="0.25">
      <c r="B100" s="397"/>
    </row>
    <row r="101" spans="2:2" x14ac:dyDescent="0.25">
      <c r="B101" s="397"/>
    </row>
    <row r="102" spans="2:2" x14ac:dyDescent="0.25">
      <c r="B102" s="397"/>
    </row>
    <row r="103" spans="2:2" x14ac:dyDescent="0.25">
      <c r="B103" s="397"/>
    </row>
    <row r="104" spans="2:2" x14ac:dyDescent="0.25">
      <c r="B104" s="397"/>
    </row>
    <row r="105" spans="2:2" x14ac:dyDescent="0.25">
      <c r="B105" s="397"/>
    </row>
    <row r="106" spans="2:2" x14ac:dyDescent="0.25">
      <c r="B106" s="397"/>
    </row>
    <row r="107" spans="2:2" x14ac:dyDescent="0.25">
      <c r="B107" s="397"/>
    </row>
    <row r="108" spans="2:2" x14ac:dyDescent="0.25">
      <c r="B108" s="397"/>
    </row>
    <row r="109" spans="2:2" x14ac:dyDescent="0.25">
      <c r="B109" s="397"/>
    </row>
    <row r="110" spans="2:2" x14ac:dyDescent="0.25">
      <c r="B110" s="397"/>
    </row>
    <row r="111" spans="2:2" x14ac:dyDescent="0.25">
      <c r="B111" s="397"/>
    </row>
    <row r="112" spans="2:2" x14ac:dyDescent="0.25">
      <c r="B112" s="397"/>
    </row>
    <row r="113" spans="2:2" x14ac:dyDescent="0.25">
      <c r="B113" s="397"/>
    </row>
    <row r="114" spans="2:2" x14ac:dyDescent="0.25">
      <c r="B114" s="397"/>
    </row>
    <row r="115" spans="2:2" x14ac:dyDescent="0.25">
      <c r="B115" s="397"/>
    </row>
    <row r="116" spans="2:2" x14ac:dyDescent="0.25">
      <c r="B116" s="397"/>
    </row>
    <row r="117" spans="2:2" x14ac:dyDescent="0.25">
      <c r="B117" s="397"/>
    </row>
    <row r="118" spans="2:2" x14ac:dyDescent="0.25">
      <c r="B118" s="397"/>
    </row>
    <row r="119" spans="2:2" x14ac:dyDescent="0.25">
      <c r="B119" s="397"/>
    </row>
    <row r="120" spans="2:2" x14ac:dyDescent="0.25">
      <c r="B120" s="397"/>
    </row>
    <row r="121" spans="2:2" x14ac:dyDescent="0.25">
      <c r="B121" s="397"/>
    </row>
    <row r="122" spans="2:2" x14ac:dyDescent="0.25">
      <c r="B122" s="397"/>
    </row>
    <row r="123" spans="2:2" x14ac:dyDescent="0.25">
      <c r="B123" s="397"/>
    </row>
    <row r="124" spans="2:2" x14ac:dyDescent="0.25">
      <c r="B124" s="397"/>
    </row>
    <row r="125" spans="2:2" x14ac:dyDescent="0.25">
      <c r="B125" s="397"/>
    </row>
    <row r="126" spans="2:2" x14ac:dyDescent="0.25">
      <c r="B126" s="397"/>
    </row>
    <row r="127" spans="2:2" x14ac:dyDescent="0.25">
      <c r="B127" s="397"/>
    </row>
    <row r="128" spans="2:2" x14ac:dyDescent="0.25">
      <c r="B128" s="397"/>
    </row>
    <row r="129" spans="2:2" x14ac:dyDescent="0.25">
      <c r="B129" s="397"/>
    </row>
    <row r="130" spans="2:2" x14ac:dyDescent="0.25">
      <c r="B130" s="397"/>
    </row>
    <row r="131" spans="2:2" x14ac:dyDescent="0.25">
      <c r="B131" s="397"/>
    </row>
    <row r="132" spans="2:2" x14ac:dyDescent="0.25">
      <c r="B132" s="397"/>
    </row>
    <row r="133" spans="2:2" x14ac:dyDescent="0.25">
      <c r="B133" s="397"/>
    </row>
    <row r="134" spans="2:2" x14ac:dyDescent="0.25">
      <c r="B134" s="397"/>
    </row>
    <row r="135" spans="2:2" x14ac:dyDescent="0.25">
      <c r="B135" s="397"/>
    </row>
    <row r="136" spans="2:2" x14ac:dyDescent="0.25">
      <c r="B136" s="397"/>
    </row>
    <row r="137" spans="2:2" x14ac:dyDescent="0.25">
      <c r="B137" s="397"/>
    </row>
    <row r="138" spans="2:2" x14ac:dyDescent="0.25">
      <c r="B138" s="397"/>
    </row>
    <row r="139" spans="2:2" x14ac:dyDescent="0.25">
      <c r="B139" s="397"/>
    </row>
    <row r="140" spans="2:2" x14ac:dyDescent="0.25">
      <c r="B140" s="397"/>
    </row>
    <row r="141" spans="2:2" x14ac:dyDescent="0.25">
      <c r="B141" s="397"/>
    </row>
    <row r="142" spans="2:2" x14ac:dyDescent="0.25">
      <c r="B142" s="397"/>
    </row>
    <row r="143" spans="2:2" x14ac:dyDescent="0.25">
      <c r="B143" s="397"/>
    </row>
    <row r="144" spans="2:2" x14ac:dyDescent="0.25">
      <c r="B144" s="397"/>
    </row>
    <row r="145" spans="2:2" x14ac:dyDescent="0.25">
      <c r="B145" s="397"/>
    </row>
    <row r="146" spans="2:2" x14ac:dyDescent="0.25">
      <c r="B146" s="397"/>
    </row>
    <row r="147" spans="2:2" x14ac:dyDescent="0.25">
      <c r="B147" s="397"/>
    </row>
    <row r="148" spans="2:2" x14ac:dyDescent="0.25">
      <c r="B148" s="397"/>
    </row>
    <row r="149" spans="2:2" x14ac:dyDescent="0.25">
      <c r="B149" s="397"/>
    </row>
    <row r="150" spans="2:2" x14ac:dyDescent="0.25">
      <c r="B150" s="397"/>
    </row>
    <row r="151" spans="2:2" x14ac:dyDescent="0.25">
      <c r="B151" s="397"/>
    </row>
    <row r="152" spans="2:2" x14ac:dyDescent="0.25">
      <c r="B152" s="397"/>
    </row>
    <row r="153" spans="2:2" x14ac:dyDescent="0.25">
      <c r="B153" s="397"/>
    </row>
    <row r="154" spans="2:2" x14ac:dyDescent="0.25">
      <c r="B154" s="397"/>
    </row>
    <row r="155" spans="2:2" x14ac:dyDescent="0.25">
      <c r="B155" s="397"/>
    </row>
    <row r="156" spans="2:2" x14ac:dyDescent="0.25">
      <c r="B156" s="397"/>
    </row>
    <row r="157" spans="2:2" x14ac:dyDescent="0.25">
      <c r="B157" s="397"/>
    </row>
    <row r="158" spans="2:2" x14ac:dyDescent="0.25">
      <c r="B158" s="397"/>
    </row>
    <row r="159" spans="2:2" x14ac:dyDescent="0.25">
      <c r="B159" s="397"/>
    </row>
    <row r="160" spans="2:2" x14ac:dyDescent="0.25">
      <c r="B160" s="397"/>
    </row>
    <row r="161" s="397" customFormat="1" x14ac:dyDescent="0.25"/>
    <row r="162" s="397" customFormat="1" x14ac:dyDescent="0.25"/>
    <row r="163" s="397" customFormat="1" x14ac:dyDescent="0.25"/>
    <row r="164" s="397" customFormat="1" x14ac:dyDescent="0.25"/>
    <row r="165" s="397" customFormat="1" x14ac:dyDescent="0.25"/>
    <row r="166" s="397" customFormat="1" x14ac:dyDescent="0.25"/>
    <row r="167" s="397" customFormat="1" x14ac:dyDescent="0.25"/>
    <row r="168" s="397" customFormat="1" x14ac:dyDescent="0.25"/>
    <row r="169" s="397" customFormat="1" x14ac:dyDescent="0.25"/>
    <row r="170" s="397" customFormat="1" x14ac:dyDescent="0.25"/>
    <row r="171" s="397" customFormat="1" x14ac:dyDescent="0.25"/>
    <row r="172" s="397" customFormat="1" x14ac:dyDescent="0.25"/>
    <row r="173" s="397" customFormat="1" x14ac:dyDescent="0.25"/>
    <row r="174" s="397" customFormat="1" x14ac:dyDescent="0.25"/>
    <row r="175" s="397" customFormat="1" x14ac:dyDescent="0.25"/>
    <row r="176" s="397" customFormat="1" x14ac:dyDescent="0.25"/>
    <row r="177" s="397" customFormat="1" x14ac:dyDescent="0.25"/>
    <row r="178" s="397" customFormat="1" x14ac:dyDescent="0.25"/>
    <row r="179" s="397" customFormat="1" x14ac:dyDescent="0.25"/>
    <row r="180" s="397" customFormat="1" x14ac:dyDescent="0.25"/>
    <row r="181" s="397" customFormat="1" x14ac:dyDescent="0.25"/>
    <row r="182" s="397" customFormat="1" x14ac:dyDescent="0.25"/>
    <row r="183" s="397" customFormat="1" x14ac:dyDescent="0.25"/>
    <row r="184" s="397" customFormat="1" x14ac:dyDescent="0.25"/>
    <row r="185" s="397" customFormat="1" x14ac:dyDescent="0.25"/>
    <row r="186" s="397" customFormat="1" x14ac:dyDescent="0.25"/>
    <row r="187" s="397" customFormat="1" x14ac:dyDescent="0.25"/>
    <row r="188" s="397" customFormat="1" x14ac:dyDescent="0.25"/>
    <row r="189" s="397" customFormat="1" x14ac:dyDescent="0.25"/>
    <row r="190" s="397" customFormat="1" x14ac:dyDescent="0.25"/>
    <row r="191" s="397" customFormat="1" x14ac:dyDescent="0.25"/>
    <row r="192" s="397" customFormat="1" x14ac:dyDescent="0.25"/>
    <row r="193" s="397" customFormat="1" x14ac:dyDescent="0.25"/>
    <row r="194" s="397" customFormat="1" x14ac:dyDescent="0.25"/>
    <row r="195" s="397" customFormat="1" x14ac:dyDescent="0.25"/>
    <row r="196" s="397" customFormat="1" x14ac:dyDescent="0.25"/>
    <row r="197" s="397" customFormat="1" x14ac:dyDescent="0.25"/>
    <row r="198" s="397" customFormat="1" x14ac:dyDescent="0.25"/>
    <row r="199" s="397" customFormat="1" x14ac:dyDescent="0.25"/>
    <row r="200" s="397" customFormat="1" x14ac:dyDescent="0.25"/>
    <row r="201" s="397" customFormat="1" x14ac:dyDescent="0.25"/>
    <row r="202" s="397" customFormat="1" x14ac:dyDescent="0.25"/>
    <row r="203" s="397" customFormat="1" x14ac:dyDescent="0.25"/>
    <row r="204" s="397" customFormat="1" x14ac:dyDescent="0.25"/>
    <row r="205" s="397" customFormat="1" x14ac:dyDescent="0.25"/>
    <row r="206" s="397" customFormat="1" x14ac:dyDescent="0.25"/>
    <row r="207" s="397" customFormat="1" x14ac:dyDescent="0.25"/>
    <row r="208" s="397" customFormat="1" x14ac:dyDescent="0.25"/>
    <row r="209" s="397" customFormat="1" x14ac:dyDescent="0.25"/>
    <row r="210" s="397" customFormat="1" x14ac:dyDescent="0.25"/>
    <row r="211" s="397" customFormat="1" x14ac:dyDescent="0.25"/>
    <row r="212" s="397" customFormat="1" x14ac:dyDescent="0.25"/>
    <row r="213" s="397" customFormat="1" x14ac:dyDescent="0.25"/>
    <row r="214" s="397" customFormat="1" x14ac:dyDescent="0.25"/>
    <row r="215" s="397" customFormat="1" x14ac:dyDescent="0.25"/>
    <row r="216" s="397" customFormat="1" x14ac:dyDescent="0.25"/>
    <row r="217" s="397" customFormat="1" x14ac:dyDescent="0.25"/>
    <row r="218" s="397" customFormat="1" x14ac:dyDescent="0.25"/>
    <row r="219" s="397" customFormat="1" x14ac:dyDescent="0.25"/>
    <row r="220" s="397" customFormat="1" x14ac:dyDescent="0.25"/>
    <row r="221" s="397" customFormat="1" x14ac:dyDescent="0.25"/>
    <row r="222" s="397" customFormat="1" x14ac:dyDescent="0.25"/>
    <row r="223" s="397" customFormat="1" x14ac:dyDescent="0.25"/>
    <row r="224" s="397" customFormat="1" x14ac:dyDescent="0.25"/>
    <row r="225" s="397" customFormat="1" x14ac:dyDescent="0.25"/>
    <row r="226" s="397" customFormat="1" x14ac:dyDescent="0.25"/>
    <row r="227" s="397" customFormat="1" x14ac:dyDescent="0.25"/>
    <row r="228" s="397" customFormat="1" x14ac:dyDescent="0.25"/>
    <row r="229" s="397" customFormat="1" x14ac:dyDescent="0.25"/>
    <row r="230" s="397" customFormat="1" x14ac:dyDescent="0.25"/>
    <row r="231" s="397" customFormat="1" x14ac:dyDescent="0.25"/>
    <row r="232" s="397" customFormat="1" x14ac:dyDescent="0.25"/>
    <row r="233" s="397" customFormat="1" x14ac:dyDescent="0.25"/>
    <row r="234" s="397" customFormat="1" x14ac:dyDescent="0.25"/>
    <row r="235" s="397" customFormat="1" x14ac:dyDescent="0.25"/>
    <row r="236" s="397" customFormat="1" x14ac:dyDescent="0.25"/>
    <row r="237" s="397" customFormat="1" x14ac:dyDescent="0.25"/>
    <row r="238" s="397" customFormat="1" x14ac:dyDescent="0.25"/>
    <row r="239" s="397" customFormat="1" x14ac:dyDescent="0.25"/>
    <row r="240" s="397" customFormat="1" x14ac:dyDescent="0.25"/>
    <row r="241" s="397" customFormat="1" x14ac:dyDescent="0.25"/>
    <row r="242" s="397" customFormat="1" x14ac:dyDescent="0.25"/>
    <row r="243" s="397" customFormat="1" x14ac:dyDescent="0.25"/>
    <row r="244" s="397" customFormat="1" x14ac:dyDescent="0.25"/>
    <row r="245" s="397" customFormat="1" x14ac:dyDescent="0.25"/>
    <row r="246" s="397" customFormat="1" x14ac:dyDescent="0.25"/>
    <row r="247" s="397" customFormat="1" x14ac:dyDescent="0.25"/>
    <row r="248" s="397" customFormat="1" x14ac:dyDescent="0.25"/>
    <row r="249" s="397" customFormat="1" x14ac:dyDescent="0.25"/>
    <row r="250" s="397" customFormat="1" x14ac:dyDescent="0.25"/>
    <row r="251" s="397" customFormat="1" x14ac:dyDescent="0.25"/>
    <row r="252" s="397" customFormat="1" x14ac:dyDescent="0.25"/>
    <row r="253" s="397" customFormat="1" x14ac:dyDescent="0.25"/>
    <row r="254" s="397" customFormat="1" x14ac:dyDescent="0.25"/>
    <row r="255" s="397" customFormat="1" x14ac:dyDescent="0.25"/>
    <row r="256" s="397" customFormat="1" x14ac:dyDescent="0.25"/>
    <row r="257" spans="2:2" s="397" customFormat="1" x14ac:dyDescent="0.25"/>
    <row r="258" spans="2:2" s="397" customFormat="1" x14ac:dyDescent="0.25"/>
    <row r="259" spans="2:2" x14ac:dyDescent="0.25">
      <c r="B259" s="397"/>
    </row>
    <row r="260" spans="2:2" x14ac:dyDescent="0.25">
      <c r="B260" s="397"/>
    </row>
    <row r="261" spans="2:2" x14ac:dyDescent="0.25">
      <c r="B261" s="397"/>
    </row>
    <row r="262" spans="2:2" x14ac:dyDescent="0.25">
      <c r="B262" s="397"/>
    </row>
    <row r="263" spans="2:2" x14ac:dyDescent="0.25">
      <c r="B263" s="397"/>
    </row>
    <row r="264" spans="2:2" x14ac:dyDescent="0.25">
      <c r="B264" s="397"/>
    </row>
    <row r="265" spans="2:2" x14ac:dyDescent="0.25">
      <c r="B265" s="397"/>
    </row>
  </sheetData>
  <sheetProtection algorithmName="SHA-512" hashValue="QMNspjl8uwZlcxZYqV8RIt16JxiBqcCzjnJccSWVlOYLUHiBCOooZN2oD+QzgN2AP1wsB67wzuwVK/3HH777Iw==" saltValue="DpElu5cTHbV2kNhx2oVmTw==" spinCount="100000" sheet="1" objects="1" scenarios="1"/>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27"/>
  <sheetViews>
    <sheetView showGridLines="0" topLeftCell="A8" zoomScale="80" zoomScaleNormal="80" workbookViewId="0">
      <selection activeCell="C13" sqref="C13"/>
    </sheetView>
  </sheetViews>
  <sheetFormatPr defaultColWidth="8.83203125" defaultRowHeight="12.5" x14ac:dyDescent="0.25"/>
  <cols>
    <col min="1" max="1" width="4.33203125" style="2" customWidth="1"/>
    <col min="2" max="2" width="24.08203125" style="2" customWidth="1"/>
    <col min="3" max="3" width="23.08203125" style="2" customWidth="1"/>
    <col min="4" max="4" width="10.5" style="2" bestFit="1" customWidth="1"/>
    <col min="5" max="5" width="12.08203125" style="2" bestFit="1" customWidth="1"/>
    <col min="6" max="6" width="17" style="10" customWidth="1"/>
    <col min="7" max="7" width="8.83203125" style="2"/>
    <col min="8" max="8" width="36.5" style="2" customWidth="1"/>
    <col min="9" max="16384" width="8.83203125" style="2"/>
  </cols>
  <sheetData>
    <row r="1" spans="2:9" ht="13" x14ac:dyDescent="0.3">
      <c r="B1" s="1"/>
    </row>
    <row r="2" spans="2:9" ht="18" x14ac:dyDescent="0.4">
      <c r="B2" s="6" t="s">
        <v>227</v>
      </c>
    </row>
    <row r="3" spans="2:9" ht="17.5" x14ac:dyDescent="0.35">
      <c r="B3" s="768" t="s">
        <v>956</v>
      </c>
    </row>
    <row r="4" spans="2:9" ht="13" x14ac:dyDescent="0.3">
      <c r="B4" s="9"/>
    </row>
    <row r="5" spans="2:9" ht="13" x14ac:dyDescent="0.3">
      <c r="B5" s="9" t="s">
        <v>799</v>
      </c>
      <c r="C5" s="11"/>
      <c r="D5" s="18"/>
      <c r="E5" s="10"/>
      <c r="G5" s="10"/>
      <c r="H5" s="10"/>
      <c r="I5" s="10"/>
    </row>
    <row r="6" spans="2:9" ht="13" x14ac:dyDescent="0.3">
      <c r="B6" s="684" t="s">
        <v>370</v>
      </c>
      <c r="C6" s="578" t="s">
        <v>930</v>
      </c>
      <c r="D6" s="217"/>
      <c r="E6" s="318"/>
      <c r="F6" s="586"/>
      <c r="G6" s="10"/>
      <c r="H6" s="10"/>
      <c r="I6" s="10"/>
    </row>
    <row r="7" spans="2:9" ht="13" x14ac:dyDescent="0.3">
      <c r="B7" s="665" t="s">
        <v>371</v>
      </c>
      <c r="C7" s="1245" t="s">
        <v>805</v>
      </c>
      <c r="D7" s="1246"/>
      <c r="E7" s="1246"/>
      <c r="F7" s="1247"/>
      <c r="G7" s="10"/>
      <c r="H7" s="10"/>
      <c r="I7" s="10"/>
    </row>
    <row r="8" spans="2:9" ht="13" x14ac:dyDescent="0.3">
      <c r="B8" s="681" t="s">
        <v>401</v>
      </c>
      <c r="C8" s="587" t="s">
        <v>957</v>
      </c>
      <c r="D8" s="241"/>
      <c r="E8" s="241"/>
      <c r="F8" s="588"/>
      <c r="G8" s="10"/>
      <c r="H8" s="10"/>
      <c r="I8" s="10"/>
    </row>
    <row r="9" spans="2:9" x14ac:dyDescent="0.25">
      <c r="G9" s="10"/>
      <c r="H9" s="10"/>
      <c r="I9" s="10"/>
    </row>
    <row r="10" spans="2:9" ht="13" x14ac:dyDescent="0.25">
      <c r="B10" s="245" t="s">
        <v>220</v>
      </c>
    </row>
    <row r="11" spans="2:9" ht="13" x14ac:dyDescent="0.3">
      <c r="B11" s="974" t="s">
        <v>950</v>
      </c>
    </row>
    <row r="12" spans="2:9" ht="13" x14ac:dyDescent="0.3">
      <c r="B12" s="974"/>
    </row>
    <row r="13" spans="2:9" ht="14" x14ac:dyDescent="0.3">
      <c r="B13" s="254" t="s">
        <v>228</v>
      </c>
    </row>
    <row r="14" spans="2:9" ht="14" x14ac:dyDescent="0.3">
      <c r="B14" s="979" t="s">
        <v>958</v>
      </c>
    </row>
    <row r="15" spans="2:9" ht="32.15" customHeight="1" x14ac:dyDescent="0.25">
      <c r="B15" s="1206" t="s">
        <v>229</v>
      </c>
      <c r="C15" s="1119"/>
      <c r="D15" s="1119"/>
      <c r="E15" s="1119"/>
      <c r="F15" s="1119"/>
    </row>
    <row r="16" spans="2:9" ht="32.15" customHeight="1" thickBot="1" x14ac:dyDescent="0.3">
      <c r="B16" s="1244" t="s">
        <v>959</v>
      </c>
      <c r="C16" s="1244"/>
      <c r="D16" s="1244"/>
      <c r="E16" s="1244"/>
      <c r="F16" s="1244"/>
    </row>
    <row r="17" spans="2:10" s="22" customFormat="1" ht="31.5" thickBot="1" x14ac:dyDescent="0.45">
      <c r="B17" s="247" t="s">
        <v>230</v>
      </c>
      <c r="C17" s="255" t="s">
        <v>231</v>
      </c>
      <c r="D17" s="246" t="s">
        <v>232</v>
      </c>
      <c r="E17" s="126" t="s">
        <v>233</v>
      </c>
      <c r="F17" s="127" t="s">
        <v>234</v>
      </c>
    </row>
    <row r="18" spans="2:10" s="22" customFormat="1" ht="13.5" thickBot="1" x14ac:dyDescent="0.35">
      <c r="B18" s="381">
        <f>'IV. Datos Entrada-PE'!F158</f>
        <v>0</v>
      </c>
      <c r="C18" s="227">
        <f>IF('IV. Datos Entrada-PE'!C162&gt;0,'IV. Datos Entrada-PE'!C162,'IV. Datos Entrada-PE'!B162)</f>
        <v>0</v>
      </c>
      <c r="D18" s="256">
        <f>IF(ISBLANK('IV. Datos Entrada-PE'!E162),'IV. Datos Entrada-PE'!D162,'IV. Datos Entrada-PE'!E162)</f>
        <v>0</v>
      </c>
      <c r="E18" s="455">
        <f>B18*C18*'III. Datos Entrada-BE'!G44*0.717*D18*0.001</f>
        <v>0</v>
      </c>
      <c r="F18" s="257">
        <f>E18*PCG</f>
        <v>0</v>
      </c>
      <c r="H18" s="5"/>
    </row>
    <row r="19" spans="2:10" s="22" customFormat="1" ht="13" x14ac:dyDescent="0.3">
      <c r="D19" s="2"/>
      <c r="E19" s="2"/>
      <c r="H19" s="5"/>
    </row>
    <row r="20" spans="2:10" ht="13" thickBot="1" x14ac:dyDescent="0.3">
      <c r="H20" s="5"/>
    </row>
    <row r="21" spans="2:10" x14ac:dyDescent="0.25">
      <c r="B21" s="1108" t="s">
        <v>955</v>
      </c>
      <c r="C21" s="1109"/>
      <c r="D21" s="1109"/>
      <c r="E21" s="1109"/>
      <c r="F21" s="1110"/>
      <c r="G21" s="133"/>
      <c r="H21" s="133"/>
      <c r="I21" s="133"/>
      <c r="J21" s="133"/>
    </row>
    <row r="22" spans="2:10" x14ac:dyDescent="0.25">
      <c r="B22" s="1107"/>
      <c r="C22" s="1111"/>
      <c r="D22" s="1111"/>
      <c r="E22" s="1111"/>
      <c r="F22" s="1112"/>
      <c r="G22" s="133"/>
      <c r="H22" s="133"/>
      <c r="I22" s="133"/>
      <c r="J22" s="133"/>
    </row>
    <row r="23" spans="2:10" x14ac:dyDescent="0.25">
      <c r="B23" s="1107"/>
      <c r="C23" s="1111"/>
      <c r="D23" s="1111"/>
      <c r="E23" s="1111"/>
      <c r="F23" s="1112"/>
      <c r="G23" s="133"/>
      <c r="H23" s="133"/>
      <c r="I23" s="133"/>
      <c r="J23" s="133"/>
    </row>
    <row r="24" spans="2:10" x14ac:dyDescent="0.25">
      <c r="B24" s="1107"/>
      <c r="C24" s="1111"/>
      <c r="D24" s="1111"/>
      <c r="E24" s="1111"/>
      <c r="F24" s="1112"/>
      <c r="G24" s="133"/>
      <c r="H24" s="133"/>
      <c r="I24" s="133"/>
      <c r="J24" s="133"/>
    </row>
    <row r="25" spans="2:10" x14ac:dyDescent="0.25">
      <c r="B25" s="1107"/>
      <c r="C25" s="1111"/>
      <c r="D25" s="1111"/>
      <c r="E25" s="1111"/>
      <c r="F25" s="1112"/>
      <c r="G25" s="133"/>
      <c r="H25" s="133"/>
      <c r="I25" s="133"/>
      <c r="J25" s="133"/>
    </row>
    <row r="26" spans="2:10" x14ac:dyDescent="0.25">
      <c r="B26" s="1107"/>
      <c r="C26" s="1111"/>
      <c r="D26" s="1111"/>
      <c r="E26" s="1111"/>
      <c r="F26" s="1112"/>
      <c r="G26" s="133"/>
      <c r="H26" s="133"/>
      <c r="I26" s="133"/>
      <c r="J26" s="133"/>
    </row>
    <row r="27" spans="2:10" ht="13" thickBot="1" x14ac:dyDescent="0.3">
      <c r="B27" s="1113"/>
      <c r="C27" s="1114"/>
      <c r="D27" s="1114"/>
      <c r="E27" s="1114"/>
      <c r="F27" s="1115"/>
      <c r="G27" s="133"/>
      <c r="H27" s="133"/>
      <c r="I27" s="133"/>
      <c r="J27" s="133"/>
    </row>
  </sheetData>
  <sheetProtection algorithmName="SHA-512" hashValue="HFnnBHAWB2fEn6yhhtkFijYYrQOztiZmHiBPZ89DaRgADd9OVU5VT+89KIFgrbf3HS49p78mjhS7mR3gDze7jg==" saltValue="a7NN7cfGTtELWtNNroxrpA==" spinCount="100000" sheet="1" objects="1" scenarios="1"/>
  <mergeCells count="4">
    <mergeCell ref="B15:F15"/>
    <mergeCell ref="B21:F27"/>
    <mergeCell ref="C7:F7"/>
    <mergeCell ref="B16:F1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V252"/>
  <sheetViews>
    <sheetView showGridLines="0" topLeftCell="A16" zoomScaleNormal="100" workbookViewId="0">
      <selection activeCell="C18" sqref="C18"/>
    </sheetView>
  </sheetViews>
  <sheetFormatPr defaultColWidth="8.83203125" defaultRowHeight="13" x14ac:dyDescent="0.3"/>
  <cols>
    <col min="1" max="1" width="4.5" style="2" customWidth="1"/>
    <col min="2" max="2" width="37.33203125" style="11" customWidth="1"/>
    <col min="3" max="3" width="33" style="2" bestFit="1" customWidth="1"/>
    <col min="4" max="4" width="13.08203125" style="2" customWidth="1"/>
    <col min="5" max="5" width="18" style="8" customWidth="1"/>
    <col min="6" max="6" width="19.08203125" style="258" bestFit="1" customWidth="1"/>
    <col min="7" max="7" width="16" style="2" bestFit="1" customWidth="1"/>
    <col min="8" max="8" width="19.33203125" style="2" bestFit="1" customWidth="1"/>
    <col min="9" max="16384" width="8.83203125" style="2"/>
  </cols>
  <sheetData>
    <row r="1" spans="2:22" x14ac:dyDescent="0.3">
      <c r="B1" s="1"/>
    </row>
    <row r="2" spans="2:22" ht="18" x14ac:dyDescent="0.4">
      <c r="B2" s="216" t="s">
        <v>235</v>
      </c>
    </row>
    <row r="3" spans="2:22" ht="15.5" x14ac:dyDescent="0.35">
      <c r="B3" s="759" t="s">
        <v>960</v>
      </c>
    </row>
    <row r="4" spans="2:22" ht="15.5" x14ac:dyDescent="0.35">
      <c r="B4" s="759"/>
    </row>
    <row r="5" spans="2:22" x14ac:dyDescent="0.3">
      <c r="B5" s="9" t="s">
        <v>799</v>
      </c>
      <c r="C5" s="11"/>
      <c r="D5" s="18"/>
      <c r="E5" s="10"/>
      <c r="F5" s="10"/>
      <c r="G5" s="10"/>
      <c r="H5" s="10"/>
      <c r="I5" s="10"/>
    </row>
    <row r="6" spans="2:22" x14ac:dyDescent="0.3">
      <c r="B6" s="684" t="s">
        <v>370</v>
      </c>
      <c r="C6" s="578" t="s">
        <v>930</v>
      </c>
      <c r="D6" s="217"/>
      <c r="E6" s="318"/>
      <c r="F6" s="5"/>
      <c r="G6" s="5"/>
      <c r="H6" s="10"/>
      <c r="S6" s="260"/>
      <c r="T6" s="260"/>
      <c r="U6" s="260"/>
      <c r="V6" s="260"/>
    </row>
    <row r="7" spans="2:22" x14ac:dyDescent="0.3">
      <c r="B7" s="665" t="s">
        <v>371</v>
      </c>
      <c r="C7" s="274" t="s">
        <v>805</v>
      </c>
      <c r="D7" s="980"/>
      <c r="E7" s="980"/>
      <c r="F7" s="5"/>
      <c r="G7" s="5"/>
      <c r="H7" s="10"/>
      <c r="S7" s="260"/>
      <c r="T7" s="260"/>
      <c r="U7" s="260"/>
      <c r="V7" s="260"/>
    </row>
    <row r="8" spans="2:22" x14ac:dyDescent="0.3">
      <c r="B8" s="681" t="s">
        <v>401</v>
      </c>
      <c r="C8" s="587" t="s">
        <v>957</v>
      </c>
      <c r="D8" s="241"/>
      <c r="E8" s="241"/>
      <c r="F8" s="5"/>
      <c r="G8" s="5"/>
      <c r="H8" s="10"/>
      <c r="S8" s="260"/>
      <c r="T8" s="260"/>
      <c r="U8" s="260"/>
      <c r="V8" s="260"/>
    </row>
    <row r="9" spans="2:22" x14ac:dyDescent="0.3">
      <c r="E9" s="12"/>
      <c r="F9" s="186"/>
      <c r="G9" s="5"/>
      <c r="H9" s="5"/>
      <c r="I9" s="10"/>
    </row>
    <row r="10" spans="2:22" ht="15.5" x14ac:dyDescent="0.35">
      <c r="B10" s="17" t="s">
        <v>236</v>
      </c>
      <c r="F10" s="186"/>
      <c r="G10" s="5"/>
      <c r="H10" s="5"/>
    </row>
    <row r="11" spans="2:22" ht="15.5" x14ac:dyDescent="0.35">
      <c r="B11" s="759" t="s">
        <v>961</v>
      </c>
    </row>
    <row r="12" spans="2:22" ht="44" customHeight="1" x14ac:dyDescent="0.25">
      <c r="B12" s="1119" t="s">
        <v>237</v>
      </c>
      <c r="C12" s="1119"/>
      <c r="D12" s="1119"/>
      <c r="E12" s="1119"/>
    </row>
    <row r="13" spans="2:22" ht="43.5" customHeight="1" x14ac:dyDescent="0.25">
      <c r="B13" s="1134" t="s">
        <v>962</v>
      </c>
      <c r="C13" s="1134"/>
      <c r="D13" s="1134"/>
      <c r="E13" s="1134"/>
      <c r="F13" s="261"/>
      <c r="G13" s="20"/>
      <c r="H13" s="20"/>
      <c r="I13" s="20"/>
      <c r="J13" s="20"/>
      <c r="K13" s="20"/>
      <c r="L13" s="20"/>
    </row>
    <row r="14" spans="2:22" ht="13.5" thickBot="1" x14ac:dyDescent="0.35">
      <c r="B14" s="134"/>
    </row>
    <row r="15" spans="2:22" ht="13.5" thickBot="1" x14ac:dyDescent="0.35">
      <c r="B15" s="1248" t="str">
        <f>'III. Datos Entrada-BE'!C53</f>
        <v>Vacas lecheras y no lecheras (en sistemas intensivos) 
Dairy and non-milking dairy cows (in intensive systems)</v>
      </c>
      <c r="C15" s="1249"/>
      <c r="E15" s="3"/>
      <c r="N15" s="18"/>
    </row>
    <row r="16" spans="2:22" ht="15" x14ac:dyDescent="0.4">
      <c r="B16" s="262" t="s">
        <v>238</v>
      </c>
      <c r="C16" s="263">
        <f>'VI. BE CH4-nAS'!E19</f>
        <v>3.91</v>
      </c>
      <c r="D16" s="264"/>
      <c r="E16" s="265"/>
      <c r="F16" s="266"/>
      <c r="G16" s="264"/>
      <c r="H16" s="264"/>
      <c r="I16" s="264"/>
      <c r="J16" s="264"/>
      <c r="N16" s="18"/>
    </row>
    <row r="17" spans="2:14" ht="16.5" thickBot="1" x14ac:dyDescent="0.45">
      <c r="B17" s="598" t="s">
        <v>239</v>
      </c>
      <c r="C17" s="599">
        <f>IF(ISBLANK('III. Datos Entrada-BE'!D120),'III. Datos Entrada-BE'!C120,'III. Datos Entrada-BE'!D120)</f>
        <v>0.13</v>
      </c>
      <c r="D17" s="264"/>
      <c r="E17" s="265"/>
      <c r="F17" s="266"/>
      <c r="G17" s="264"/>
      <c r="H17" s="264"/>
      <c r="I17" s="264"/>
      <c r="J17" s="264"/>
      <c r="N17" s="18"/>
    </row>
    <row r="18" spans="2:14" ht="13.5" thickBot="1" x14ac:dyDescent="0.35">
      <c r="B18" s="267"/>
      <c r="C18" s="268"/>
      <c r="D18" s="264"/>
      <c r="E18" s="265"/>
      <c r="F18" s="266"/>
      <c r="G18" s="264"/>
      <c r="H18" s="264"/>
      <c r="I18" s="264"/>
      <c r="J18" s="264"/>
      <c r="N18" s="18"/>
    </row>
    <row r="19" spans="2:14" s="22" customFormat="1" ht="28.5" thickBot="1" x14ac:dyDescent="0.45">
      <c r="B19" s="269" t="s">
        <v>963</v>
      </c>
      <c r="C19" s="71" t="s">
        <v>241</v>
      </c>
      <c r="D19" s="71" t="s">
        <v>242</v>
      </c>
      <c r="E19" s="270" t="s">
        <v>243</v>
      </c>
      <c r="F19" s="271" t="s">
        <v>244</v>
      </c>
      <c r="G19" s="12"/>
    </row>
    <row r="20" spans="2:14" ht="12.5" x14ac:dyDescent="0.25">
      <c r="B20" s="272">
        <f>'IV. Datos Entrada-PE'!B174</f>
        <v>0</v>
      </c>
      <c r="C20" s="383">
        <f>'IV. Datos Entrada-PE'!D174</f>
        <v>0</v>
      </c>
      <c r="D20" s="224">
        <f>'IV. Datos Entrada-PE'!C193</f>
        <v>0</v>
      </c>
      <c r="E20" s="273">
        <f>C20*D20</f>
        <v>0</v>
      </c>
      <c r="F20" s="1250"/>
      <c r="G20" s="3"/>
    </row>
    <row r="21" spans="2:14" ht="12.5" x14ac:dyDescent="0.25">
      <c r="B21" s="600">
        <f>'IV. Datos Entrada-PE'!B175</f>
        <v>0</v>
      </c>
      <c r="C21" s="685">
        <f>'IV. Datos Entrada-PE'!D175</f>
        <v>0</v>
      </c>
      <c r="D21" s="682">
        <f>'IV. Datos Entrada-PE'!C194</f>
        <v>0</v>
      </c>
      <c r="E21" s="274">
        <f t="shared" ref="E21:E31" si="0">C21*D21</f>
        <v>0</v>
      </c>
      <c r="F21" s="1251"/>
      <c r="G21" s="80"/>
    </row>
    <row r="22" spans="2:14" ht="12.5" x14ac:dyDescent="0.25">
      <c r="B22" s="600">
        <f>'IV. Datos Entrada-PE'!B177</f>
        <v>0</v>
      </c>
      <c r="C22" s="685">
        <f>'IV. Datos Entrada-PE'!D177</f>
        <v>0</v>
      </c>
      <c r="D22" s="682">
        <f>'IV. Datos Entrada-PE'!C197</f>
        <v>0</v>
      </c>
      <c r="E22" s="274">
        <f t="shared" si="0"/>
        <v>0</v>
      </c>
      <c r="F22" s="1251"/>
      <c r="G22" s="3"/>
    </row>
    <row r="23" spans="2:14" ht="12.5" x14ac:dyDescent="0.25">
      <c r="B23" s="600">
        <f>'IV. Datos Entrada-PE'!B178</f>
        <v>0</v>
      </c>
      <c r="C23" s="685">
        <f>'IV. Datos Entrada-PE'!D178</f>
        <v>0</v>
      </c>
      <c r="D23" s="682">
        <f>'IV. Datos Entrada-PE'!C198</f>
        <v>0</v>
      </c>
      <c r="E23" s="274">
        <f t="shared" si="0"/>
        <v>0</v>
      </c>
      <c r="F23" s="1251"/>
      <c r="G23" s="3"/>
    </row>
    <row r="24" spans="2:14" ht="12.5" x14ac:dyDescent="0.25">
      <c r="B24" s="600">
        <f>'IV. Datos Entrada-PE'!B179</f>
        <v>0</v>
      </c>
      <c r="C24" s="685">
        <f>'IV. Datos Entrada-PE'!D179</f>
        <v>0</v>
      </c>
      <c r="D24" s="682">
        <f>'IV. Datos Entrada-PE'!C199</f>
        <v>0</v>
      </c>
      <c r="E24" s="274">
        <f t="shared" si="0"/>
        <v>0</v>
      </c>
      <c r="F24" s="1251"/>
      <c r="G24" s="3"/>
    </row>
    <row r="25" spans="2:14" ht="12.5" x14ac:dyDescent="0.25">
      <c r="B25" s="600">
        <f>'IV. Datos Entrada-PE'!B180</f>
        <v>0</v>
      </c>
      <c r="C25" s="685">
        <f>'IV. Datos Entrada-PE'!D180</f>
        <v>0</v>
      </c>
      <c r="D25" s="682">
        <f>'IV. Datos Entrada-PE'!C200</f>
        <v>0</v>
      </c>
      <c r="E25" s="274">
        <f t="shared" si="0"/>
        <v>0</v>
      </c>
      <c r="F25" s="1251"/>
      <c r="G25" s="3"/>
    </row>
    <row r="26" spans="2:14" ht="12.5" x14ac:dyDescent="0.25">
      <c r="B26" s="600">
        <f>'IV. Datos Entrada-PE'!B181</f>
        <v>0</v>
      </c>
      <c r="C26" s="685">
        <f>'IV. Datos Entrada-PE'!D181</f>
        <v>0</v>
      </c>
      <c r="D26" s="682">
        <f>'IV. Datos Entrada-PE'!C201</f>
        <v>0</v>
      </c>
      <c r="E26" s="274">
        <f t="shared" si="0"/>
        <v>0</v>
      </c>
      <c r="F26" s="1251"/>
      <c r="G26" s="3"/>
    </row>
    <row r="27" spans="2:14" ht="12.5" x14ac:dyDescent="0.25">
      <c r="B27" s="600">
        <f>'IV. Datos Entrada-PE'!B182</f>
        <v>0</v>
      </c>
      <c r="C27" s="685">
        <f>'IV. Datos Entrada-PE'!D182</f>
        <v>0</v>
      </c>
      <c r="D27" s="682">
        <f>'IV. Datos Entrada-PE'!C202</f>
        <v>0</v>
      </c>
      <c r="E27" s="274">
        <f t="shared" si="0"/>
        <v>0</v>
      </c>
      <c r="F27" s="1251"/>
      <c r="G27" s="3"/>
    </row>
    <row r="28" spans="2:14" ht="12.5" x14ac:dyDescent="0.25">
      <c r="B28" s="600">
        <f>'IV. Datos Entrada-PE'!B183</f>
        <v>0</v>
      </c>
      <c r="C28" s="685">
        <f>'IV. Datos Entrada-PE'!D183</f>
        <v>0</v>
      </c>
      <c r="D28" s="682">
        <f>'IV. Datos Entrada-PE'!C203</f>
        <v>0</v>
      </c>
      <c r="E28" s="274">
        <f t="shared" si="0"/>
        <v>0</v>
      </c>
      <c r="F28" s="1251"/>
      <c r="G28" s="3"/>
    </row>
    <row r="29" spans="2:14" ht="12.5" x14ac:dyDescent="0.25">
      <c r="B29" s="600">
        <f>'IV. Datos Entrada-PE'!B184</f>
        <v>0</v>
      </c>
      <c r="C29" s="685">
        <f>'IV. Datos Entrada-PE'!D184</f>
        <v>0</v>
      </c>
      <c r="D29" s="682">
        <f>'IV. Datos Entrada-PE'!C204</f>
        <v>0</v>
      </c>
      <c r="E29" s="274">
        <f t="shared" si="0"/>
        <v>0</v>
      </c>
      <c r="F29" s="1251"/>
      <c r="G29" s="3"/>
    </row>
    <row r="30" spans="2:14" ht="12.5" x14ac:dyDescent="0.25">
      <c r="B30" s="600">
        <f>'IV. Datos Entrada-PE'!B185</f>
        <v>0</v>
      </c>
      <c r="C30" s="685">
        <f>'IV. Datos Entrada-PE'!D185</f>
        <v>0</v>
      </c>
      <c r="D30" s="682">
        <f>'IV. Datos Entrada-PE'!C205</f>
        <v>0</v>
      </c>
      <c r="E30" s="274">
        <f t="shared" si="0"/>
        <v>0</v>
      </c>
      <c r="F30" s="1251"/>
      <c r="G30" s="3"/>
    </row>
    <row r="31" spans="2:14" thickBot="1" x14ac:dyDescent="0.3">
      <c r="B31" s="601">
        <f>'IV. Datos Entrada-PE'!B186</f>
        <v>0</v>
      </c>
      <c r="C31" s="602">
        <f>'IV. Datos Entrada-PE'!D186</f>
        <v>0</v>
      </c>
      <c r="D31" s="582">
        <f>'IV. Datos Entrada-PE'!C206</f>
        <v>0</v>
      </c>
      <c r="E31" s="275">
        <f t="shared" si="0"/>
        <v>0</v>
      </c>
      <c r="F31" s="1252"/>
      <c r="G31" s="3"/>
    </row>
    <row r="32" spans="2:14" ht="13.5" thickBot="1" x14ac:dyDescent="0.35">
      <c r="B32" s="276" t="s">
        <v>185</v>
      </c>
      <c r="C32" s="277">
        <f>SUM(C20:C31)</f>
        <v>0</v>
      </c>
      <c r="D32" s="278">
        <f>SUM(D20:D31)</f>
        <v>0</v>
      </c>
      <c r="E32" s="275">
        <f>SUM(E20:E31)</f>
        <v>0</v>
      </c>
      <c r="F32" s="279">
        <f>E32*(C16*C17*0.717*'III. Datos Entrada-BE'!$G$44)</f>
        <v>0</v>
      </c>
      <c r="G32" s="3"/>
    </row>
    <row r="33" spans="2:11" x14ac:dyDescent="0.3">
      <c r="B33" s="13"/>
      <c r="E33" s="2"/>
      <c r="F33" s="280"/>
      <c r="G33" s="3"/>
    </row>
    <row r="34" spans="2:11" ht="13.5" thickBot="1" x14ac:dyDescent="0.35">
      <c r="B34" s="13"/>
      <c r="E34" s="2"/>
      <c r="F34" s="280"/>
      <c r="G34" s="3"/>
    </row>
    <row r="35" spans="2:11" ht="13.5" thickBot="1" x14ac:dyDescent="0.35">
      <c r="B35" s="1253" t="str">
        <f>'III. Datos Entrada-BE'!C54</f>
        <v>Novillos/Novillos (en sistemas intensivos) 
Heifers/Steers (in intensive systems)</v>
      </c>
      <c r="C35" s="1254"/>
      <c r="D35" s="134"/>
      <c r="E35" s="134"/>
      <c r="F35" s="281"/>
      <c r="G35" s="282"/>
      <c r="H35" s="134"/>
      <c r="I35" s="134"/>
      <c r="J35" s="134"/>
      <c r="K35" s="134"/>
    </row>
    <row r="36" spans="2:11" ht="15" x14ac:dyDescent="0.4">
      <c r="B36" s="262" t="s">
        <v>238</v>
      </c>
      <c r="C36" s="263">
        <f>'VI. BE CH4-nAS'!E20</f>
        <v>2.86</v>
      </c>
      <c r="D36" s="264"/>
      <c r="E36" s="264"/>
      <c r="F36" s="283"/>
      <c r="G36" s="284"/>
      <c r="H36" s="264"/>
      <c r="I36" s="264"/>
      <c r="J36" s="264"/>
      <c r="K36" s="264"/>
    </row>
    <row r="37" spans="2:11" ht="16.5" thickBot="1" x14ac:dyDescent="0.45">
      <c r="B37" s="598" t="s">
        <v>239</v>
      </c>
      <c r="C37" s="599">
        <f>'III. Datos Entrada-BE'!C121</f>
        <v>0.17</v>
      </c>
      <c r="D37" s="264"/>
      <c r="E37" s="264"/>
      <c r="F37" s="283"/>
      <c r="G37" s="284"/>
      <c r="H37" s="264"/>
      <c r="I37" s="264"/>
      <c r="J37" s="264"/>
      <c r="K37" s="264"/>
    </row>
    <row r="38" spans="2:11" ht="13.5" thickBot="1" x14ac:dyDescent="0.35">
      <c r="B38" s="267"/>
      <c r="C38" s="268"/>
      <c r="D38" s="264"/>
      <c r="E38" s="264"/>
      <c r="F38" s="283"/>
      <c r="G38" s="284"/>
      <c r="H38" s="264"/>
      <c r="I38" s="264"/>
      <c r="J38" s="264"/>
      <c r="K38" s="264"/>
    </row>
    <row r="39" spans="2:11" s="22" customFormat="1" ht="28.5" thickBot="1" x14ac:dyDescent="0.45">
      <c r="B39" s="269" t="s">
        <v>240</v>
      </c>
      <c r="C39" s="71" t="s">
        <v>241</v>
      </c>
      <c r="D39" s="71" t="s">
        <v>242</v>
      </c>
      <c r="E39" s="270" t="s">
        <v>243</v>
      </c>
      <c r="F39" s="271" t="s">
        <v>244</v>
      </c>
      <c r="G39" s="12"/>
    </row>
    <row r="40" spans="2:11" ht="12.5" x14ac:dyDescent="0.25">
      <c r="B40" s="272">
        <f>'IV. Datos Entrada-PE'!B174</f>
        <v>0</v>
      </c>
      <c r="C40" s="383">
        <f>'IV. Datos Entrada-PE'!D174</f>
        <v>0</v>
      </c>
      <c r="D40" s="224">
        <f>'IV. Datos Entrada-PE'!D193</f>
        <v>0</v>
      </c>
      <c r="E40" s="273">
        <f>C40*D40</f>
        <v>0</v>
      </c>
      <c r="F40" s="1250"/>
      <c r="G40" s="3"/>
    </row>
    <row r="41" spans="2:11" ht="12.5" x14ac:dyDescent="0.25">
      <c r="B41" s="600">
        <f>'IV. Datos Entrada-PE'!B175</f>
        <v>0</v>
      </c>
      <c r="C41" s="685">
        <f>'IV. Datos Entrada-PE'!D175</f>
        <v>0</v>
      </c>
      <c r="D41" s="682">
        <f>'IV. Datos Entrada-PE'!D194</f>
        <v>0</v>
      </c>
      <c r="E41" s="274">
        <f t="shared" ref="E41:E51" si="1">C41*D41</f>
        <v>0</v>
      </c>
      <c r="F41" s="1251"/>
      <c r="G41" s="3"/>
    </row>
    <row r="42" spans="2:11" ht="12.5" x14ac:dyDescent="0.25">
      <c r="B42" s="600">
        <f>'IV. Datos Entrada-PE'!B177</f>
        <v>0</v>
      </c>
      <c r="C42" s="685">
        <f>'IV. Datos Entrada-PE'!D177</f>
        <v>0</v>
      </c>
      <c r="D42" s="682">
        <f>'IV. Datos Entrada-PE'!D197</f>
        <v>0</v>
      </c>
      <c r="E42" s="274">
        <f t="shared" si="1"/>
        <v>0</v>
      </c>
      <c r="F42" s="1251"/>
      <c r="G42" s="3"/>
    </row>
    <row r="43" spans="2:11" ht="12.5" x14ac:dyDescent="0.25">
      <c r="B43" s="600">
        <f>'IV. Datos Entrada-PE'!B178</f>
        <v>0</v>
      </c>
      <c r="C43" s="685">
        <f>'IV. Datos Entrada-PE'!D178</f>
        <v>0</v>
      </c>
      <c r="D43" s="682">
        <f>'IV. Datos Entrada-PE'!D198</f>
        <v>0</v>
      </c>
      <c r="E43" s="274">
        <f t="shared" si="1"/>
        <v>0</v>
      </c>
      <c r="F43" s="1251"/>
      <c r="G43" s="3"/>
    </row>
    <row r="44" spans="2:11" ht="12.5" x14ac:dyDescent="0.25">
      <c r="B44" s="600">
        <f>'IV. Datos Entrada-PE'!B179</f>
        <v>0</v>
      </c>
      <c r="C44" s="685">
        <f>'IV. Datos Entrada-PE'!D179</f>
        <v>0</v>
      </c>
      <c r="D44" s="682">
        <f>'IV. Datos Entrada-PE'!D199</f>
        <v>0</v>
      </c>
      <c r="E44" s="274">
        <f t="shared" si="1"/>
        <v>0</v>
      </c>
      <c r="F44" s="1251"/>
      <c r="G44" s="3"/>
    </row>
    <row r="45" spans="2:11" ht="12.5" x14ac:dyDescent="0.25">
      <c r="B45" s="600">
        <f>'IV. Datos Entrada-PE'!B180</f>
        <v>0</v>
      </c>
      <c r="C45" s="685">
        <f>'IV. Datos Entrada-PE'!D180</f>
        <v>0</v>
      </c>
      <c r="D45" s="682">
        <f>'IV. Datos Entrada-PE'!D200</f>
        <v>0</v>
      </c>
      <c r="E45" s="274">
        <f t="shared" si="1"/>
        <v>0</v>
      </c>
      <c r="F45" s="1251"/>
      <c r="G45" s="3"/>
    </row>
    <row r="46" spans="2:11" ht="12.5" x14ac:dyDescent="0.25">
      <c r="B46" s="600">
        <f>'IV. Datos Entrada-PE'!B181</f>
        <v>0</v>
      </c>
      <c r="C46" s="685">
        <f>'IV. Datos Entrada-PE'!D181</f>
        <v>0</v>
      </c>
      <c r="D46" s="682">
        <f>'IV. Datos Entrada-PE'!D201</f>
        <v>0</v>
      </c>
      <c r="E46" s="274">
        <f t="shared" si="1"/>
        <v>0</v>
      </c>
      <c r="F46" s="1251"/>
      <c r="G46" s="3"/>
    </row>
    <row r="47" spans="2:11" ht="12.5" x14ac:dyDescent="0.25">
      <c r="B47" s="600">
        <f>'IV. Datos Entrada-PE'!B182</f>
        <v>0</v>
      </c>
      <c r="C47" s="685">
        <f>'IV. Datos Entrada-PE'!D182</f>
        <v>0</v>
      </c>
      <c r="D47" s="682">
        <f>'IV. Datos Entrada-PE'!D202</f>
        <v>0</v>
      </c>
      <c r="E47" s="274">
        <f t="shared" si="1"/>
        <v>0</v>
      </c>
      <c r="F47" s="1251"/>
      <c r="G47" s="3"/>
    </row>
    <row r="48" spans="2:11" ht="12.5" x14ac:dyDescent="0.25">
      <c r="B48" s="600">
        <f>'IV. Datos Entrada-PE'!B183</f>
        <v>0</v>
      </c>
      <c r="C48" s="685">
        <f>'IV. Datos Entrada-PE'!D183</f>
        <v>0</v>
      </c>
      <c r="D48" s="682">
        <f>'IV. Datos Entrada-PE'!D203</f>
        <v>0</v>
      </c>
      <c r="E48" s="274">
        <f t="shared" si="1"/>
        <v>0</v>
      </c>
      <c r="F48" s="1251"/>
      <c r="G48" s="3"/>
    </row>
    <row r="49" spans="2:11" ht="12.5" x14ac:dyDescent="0.25">
      <c r="B49" s="600">
        <f>'IV. Datos Entrada-PE'!B184</f>
        <v>0</v>
      </c>
      <c r="C49" s="685">
        <f>'IV. Datos Entrada-PE'!D184</f>
        <v>0</v>
      </c>
      <c r="D49" s="682">
        <f>'IV. Datos Entrada-PE'!D204</f>
        <v>0</v>
      </c>
      <c r="E49" s="274">
        <f t="shared" si="1"/>
        <v>0</v>
      </c>
      <c r="F49" s="1251"/>
      <c r="G49" s="3"/>
    </row>
    <row r="50" spans="2:11" ht="12.5" x14ac:dyDescent="0.25">
      <c r="B50" s="600">
        <f>'IV. Datos Entrada-PE'!B185</f>
        <v>0</v>
      </c>
      <c r="C50" s="685">
        <f>'IV. Datos Entrada-PE'!D185</f>
        <v>0</v>
      </c>
      <c r="D50" s="682">
        <f>'IV. Datos Entrada-PE'!D205</f>
        <v>0</v>
      </c>
      <c r="E50" s="274">
        <f t="shared" si="1"/>
        <v>0</v>
      </c>
      <c r="F50" s="1251"/>
      <c r="G50" s="3"/>
    </row>
    <row r="51" spans="2:11" thickBot="1" x14ac:dyDescent="0.3">
      <c r="B51" s="601">
        <f>'IV. Datos Entrada-PE'!B186</f>
        <v>0</v>
      </c>
      <c r="C51" s="602">
        <f>'IV. Datos Entrada-PE'!D186</f>
        <v>0</v>
      </c>
      <c r="D51" s="582">
        <f>'IV. Datos Entrada-PE'!D206</f>
        <v>0</v>
      </c>
      <c r="E51" s="275">
        <f t="shared" si="1"/>
        <v>0</v>
      </c>
      <c r="F51" s="1252"/>
      <c r="G51" s="3"/>
    </row>
    <row r="52" spans="2:11" ht="13.5" thickBot="1" x14ac:dyDescent="0.35">
      <c r="B52" s="276" t="s">
        <v>185</v>
      </c>
      <c r="C52" s="277">
        <f>SUM(C40:C51)</f>
        <v>0</v>
      </c>
      <c r="D52" s="278">
        <f>SUM(D40:D51)</f>
        <v>0</v>
      </c>
      <c r="E52" s="275">
        <f>SUM(E40:E51)</f>
        <v>0</v>
      </c>
      <c r="F52" s="279">
        <f>E52*(C36*C37*0.717*'III. Datos Entrada-BE'!$G$44)</f>
        <v>0</v>
      </c>
      <c r="G52" s="3"/>
    </row>
    <row r="53" spans="2:11" x14ac:dyDescent="0.3">
      <c r="B53" s="13"/>
      <c r="E53" s="2"/>
      <c r="F53" s="280"/>
      <c r="G53" s="3"/>
    </row>
    <row r="54" spans="2:11" ht="13.5" thickBot="1" x14ac:dyDescent="0.35">
      <c r="B54" s="13"/>
      <c r="E54" s="2"/>
      <c r="F54" s="280"/>
      <c r="G54" s="3"/>
    </row>
    <row r="55" spans="2:11" ht="13.5" thickBot="1" x14ac:dyDescent="0.35">
      <c r="B55" s="1248" t="str">
        <f>'III. Datos Entrada-BE'!C55</f>
        <v>Novillas de reemplazo/crecimiento (en pastos o pastizales) 
Replacement/growing heifers (in pasture or rangeland)</v>
      </c>
      <c r="C55" s="1249"/>
      <c r="D55" s="285"/>
      <c r="E55" s="285"/>
      <c r="F55" s="286"/>
      <c r="G55" s="287"/>
      <c r="H55" s="285"/>
      <c r="I55" s="285"/>
      <c r="J55" s="285"/>
      <c r="K55" s="285"/>
    </row>
    <row r="56" spans="2:11" ht="15" x14ac:dyDescent="0.4">
      <c r="B56" s="262" t="s">
        <v>238</v>
      </c>
      <c r="C56" s="263">
        <f>'VI. BE CH4-nAS'!E21</f>
        <v>2.4900000000000002</v>
      </c>
      <c r="D56" s="264"/>
      <c r="E56" s="264"/>
      <c r="F56" s="283"/>
      <c r="G56" s="284"/>
      <c r="H56" s="264"/>
      <c r="I56" s="264"/>
      <c r="J56" s="264"/>
      <c r="K56" s="264"/>
    </row>
    <row r="57" spans="2:11" ht="16.5" thickBot="1" x14ac:dyDescent="0.45">
      <c r="B57" s="598" t="s">
        <v>239</v>
      </c>
      <c r="C57" s="599">
        <f>'III. Datos Entrada-BE'!C122</f>
        <v>0.13</v>
      </c>
      <c r="D57" s="264"/>
      <c r="E57" s="264"/>
      <c r="F57" s="283"/>
      <c r="G57" s="284"/>
      <c r="H57" s="264"/>
      <c r="I57" s="264"/>
      <c r="J57" s="264"/>
      <c r="K57" s="264"/>
    </row>
    <row r="58" spans="2:11" ht="13.5" thickBot="1" x14ac:dyDescent="0.35">
      <c r="B58" s="267"/>
      <c r="C58" s="268"/>
      <c r="D58" s="264"/>
      <c r="E58" s="264"/>
      <c r="F58" s="283"/>
      <c r="G58" s="284"/>
      <c r="H58" s="264"/>
      <c r="I58" s="264"/>
      <c r="J58" s="264"/>
      <c r="K58" s="264"/>
    </row>
    <row r="59" spans="2:11" s="22" customFormat="1" ht="28.5" thickBot="1" x14ac:dyDescent="0.45">
      <c r="B59" s="269" t="s">
        <v>240</v>
      </c>
      <c r="C59" s="71" t="s">
        <v>241</v>
      </c>
      <c r="D59" s="71" t="s">
        <v>242</v>
      </c>
      <c r="E59" s="270" t="s">
        <v>243</v>
      </c>
      <c r="F59" s="271" t="s">
        <v>244</v>
      </c>
      <c r="G59" s="12"/>
    </row>
    <row r="60" spans="2:11" ht="12.5" x14ac:dyDescent="0.25">
      <c r="B60" s="272">
        <f>'IV. Datos Entrada-PE'!B174</f>
        <v>0</v>
      </c>
      <c r="C60" s="383">
        <f>'IV. Datos Entrada-PE'!D174</f>
        <v>0</v>
      </c>
      <c r="D60" s="224">
        <f>'IV. Datos Entrada-PE'!E193</f>
        <v>0</v>
      </c>
      <c r="E60" s="273">
        <f>C60*D60</f>
        <v>0</v>
      </c>
      <c r="F60" s="1250"/>
      <c r="G60" s="3"/>
    </row>
    <row r="61" spans="2:11" ht="12.5" x14ac:dyDescent="0.25">
      <c r="B61" s="600">
        <f>'IV. Datos Entrada-PE'!B175</f>
        <v>0</v>
      </c>
      <c r="C61" s="685">
        <f>'IV. Datos Entrada-PE'!D175</f>
        <v>0</v>
      </c>
      <c r="D61" s="682">
        <f>'IV. Datos Entrada-PE'!E194</f>
        <v>0</v>
      </c>
      <c r="E61" s="274">
        <f t="shared" ref="E61:E71" si="2">C61*D61</f>
        <v>0</v>
      </c>
      <c r="F61" s="1251"/>
      <c r="G61" s="3"/>
    </row>
    <row r="62" spans="2:11" ht="12.5" x14ac:dyDescent="0.25">
      <c r="B62" s="600">
        <f>'IV. Datos Entrada-PE'!B177</f>
        <v>0</v>
      </c>
      <c r="C62" s="685">
        <f>'IV. Datos Entrada-PE'!D177</f>
        <v>0</v>
      </c>
      <c r="D62" s="682">
        <f>'IV. Datos Entrada-PE'!E197</f>
        <v>0</v>
      </c>
      <c r="E62" s="274">
        <f t="shared" si="2"/>
        <v>0</v>
      </c>
      <c r="F62" s="1251"/>
      <c r="G62" s="3"/>
    </row>
    <row r="63" spans="2:11" ht="12.5" x14ac:dyDescent="0.25">
      <c r="B63" s="600">
        <f>'IV. Datos Entrada-PE'!B178</f>
        <v>0</v>
      </c>
      <c r="C63" s="685">
        <f>'IV. Datos Entrada-PE'!D178</f>
        <v>0</v>
      </c>
      <c r="D63" s="682">
        <f>'IV. Datos Entrada-PE'!E198</f>
        <v>0</v>
      </c>
      <c r="E63" s="274">
        <f t="shared" si="2"/>
        <v>0</v>
      </c>
      <c r="F63" s="1251"/>
      <c r="G63" s="3"/>
    </row>
    <row r="64" spans="2:11" ht="12.5" x14ac:dyDescent="0.25">
      <c r="B64" s="600">
        <f>'IV. Datos Entrada-PE'!B179</f>
        <v>0</v>
      </c>
      <c r="C64" s="685">
        <f>'IV. Datos Entrada-PE'!D179</f>
        <v>0</v>
      </c>
      <c r="D64" s="682">
        <f>'IV. Datos Entrada-PE'!E199</f>
        <v>0</v>
      </c>
      <c r="E64" s="274">
        <f t="shared" si="2"/>
        <v>0</v>
      </c>
      <c r="F64" s="1251"/>
      <c r="G64" s="3"/>
    </row>
    <row r="65" spans="2:11" ht="12.5" x14ac:dyDescent="0.25">
      <c r="B65" s="600">
        <f>'IV. Datos Entrada-PE'!B180</f>
        <v>0</v>
      </c>
      <c r="C65" s="685">
        <f>'IV. Datos Entrada-PE'!D180</f>
        <v>0</v>
      </c>
      <c r="D65" s="682">
        <f>'IV. Datos Entrada-PE'!E200</f>
        <v>0</v>
      </c>
      <c r="E65" s="274">
        <f t="shared" si="2"/>
        <v>0</v>
      </c>
      <c r="F65" s="1251"/>
      <c r="G65" s="3"/>
    </row>
    <row r="66" spans="2:11" ht="12.5" x14ac:dyDescent="0.25">
      <c r="B66" s="600">
        <f>'IV. Datos Entrada-PE'!B181</f>
        <v>0</v>
      </c>
      <c r="C66" s="685">
        <f>'IV. Datos Entrada-PE'!D181</f>
        <v>0</v>
      </c>
      <c r="D66" s="682">
        <f>'IV. Datos Entrada-PE'!E201</f>
        <v>0</v>
      </c>
      <c r="E66" s="274">
        <f t="shared" si="2"/>
        <v>0</v>
      </c>
      <c r="F66" s="1251"/>
      <c r="G66" s="3"/>
    </row>
    <row r="67" spans="2:11" ht="12.5" x14ac:dyDescent="0.25">
      <c r="B67" s="600">
        <f>'IV. Datos Entrada-PE'!B182</f>
        <v>0</v>
      </c>
      <c r="C67" s="685">
        <f>'IV. Datos Entrada-PE'!D182</f>
        <v>0</v>
      </c>
      <c r="D67" s="682">
        <f>'IV. Datos Entrada-PE'!E202</f>
        <v>0</v>
      </c>
      <c r="E67" s="274">
        <f t="shared" si="2"/>
        <v>0</v>
      </c>
      <c r="F67" s="1251"/>
      <c r="G67" s="3"/>
    </row>
    <row r="68" spans="2:11" ht="12.5" x14ac:dyDescent="0.25">
      <c r="B68" s="600">
        <f>'IV. Datos Entrada-PE'!B183</f>
        <v>0</v>
      </c>
      <c r="C68" s="685">
        <f>'IV. Datos Entrada-PE'!D183</f>
        <v>0</v>
      </c>
      <c r="D68" s="682">
        <f>'IV. Datos Entrada-PE'!E203</f>
        <v>0</v>
      </c>
      <c r="E68" s="274">
        <f t="shared" si="2"/>
        <v>0</v>
      </c>
      <c r="F68" s="1251"/>
      <c r="G68" s="3"/>
    </row>
    <row r="69" spans="2:11" ht="12.5" x14ac:dyDescent="0.25">
      <c r="B69" s="600">
        <f>'IV. Datos Entrada-PE'!B184</f>
        <v>0</v>
      </c>
      <c r="C69" s="685">
        <f>'IV. Datos Entrada-PE'!D184</f>
        <v>0</v>
      </c>
      <c r="D69" s="682">
        <f>'IV. Datos Entrada-PE'!E204</f>
        <v>0</v>
      </c>
      <c r="E69" s="274">
        <f t="shared" si="2"/>
        <v>0</v>
      </c>
      <c r="F69" s="1251"/>
      <c r="G69" s="3"/>
    </row>
    <row r="70" spans="2:11" ht="12.5" x14ac:dyDescent="0.25">
      <c r="B70" s="600">
        <f>'IV. Datos Entrada-PE'!B185</f>
        <v>0</v>
      </c>
      <c r="C70" s="685">
        <f>'IV. Datos Entrada-PE'!D185</f>
        <v>0</v>
      </c>
      <c r="D70" s="682">
        <f>'IV. Datos Entrada-PE'!E205</f>
        <v>0</v>
      </c>
      <c r="E70" s="274">
        <f t="shared" si="2"/>
        <v>0</v>
      </c>
      <c r="F70" s="1251"/>
      <c r="G70" s="3"/>
    </row>
    <row r="71" spans="2:11" thickBot="1" x14ac:dyDescent="0.3">
      <c r="B71" s="601">
        <f>'IV. Datos Entrada-PE'!B186</f>
        <v>0</v>
      </c>
      <c r="C71" s="602">
        <f>'IV. Datos Entrada-PE'!D186</f>
        <v>0</v>
      </c>
      <c r="D71" s="582">
        <f>'IV. Datos Entrada-PE'!E206</f>
        <v>0</v>
      </c>
      <c r="E71" s="275">
        <f t="shared" si="2"/>
        <v>0</v>
      </c>
      <c r="F71" s="1252"/>
      <c r="G71" s="3"/>
    </row>
    <row r="72" spans="2:11" ht="13.5" thickBot="1" x14ac:dyDescent="0.35">
      <c r="B72" s="276" t="s">
        <v>185</v>
      </c>
      <c r="C72" s="277">
        <f>SUM(C60:C71)</f>
        <v>0</v>
      </c>
      <c r="D72" s="278">
        <f>SUM(D60:D71)</f>
        <v>0</v>
      </c>
      <c r="E72" s="275">
        <f>SUM(E60:E71)</f>
        <v>0</v>
      </c>
      <c r="F72" s="279">
        <f>E72*(C56*C57*0.717*'III. Datos Entrada-BE'!$G$44)</f>
        <v>0</v>
      </c>
      <c r="G72" s="3"/>
    </row>
    <row r="73" spans="2:11" x14ac:dyDescent="0.3">
      <c r="B73" s="13"/>
      <c r="E73" s="2"/>
      <c r="F73" s="280"/>
      <c r="G73" s="3"/>
    </row>
    <row r="74" spans="2:11" ht="13.5" thickBot="1" x14ac:dyDescent="0.35">
      <c r="B74" s="13"/>
      <c r="E74" s="2"/>
      <c r="F74" s="280"/>
      <c r="G74" s="3"/>
    </row>
    <row r="75" spans="2:11" ht="13.5" thickBot="1" x14ac:dyDescent="0.35">
      <c r="B75" s="1248" t="str">
        <f>'III. Datos Entrada-BE'!C56</f>
        <v>Toros (pastoreo) 
Bulls (grazing)</v>
      </c>
      <c r="C75" s="1249"/>
      <c r="D75" s="285"/>
      <c r="E75" s="285"/>
      <c r="F75" s="286"/>
      <c r="G75" s="287"/>
      <c r="H75" s="285"/>
      <c r="I75" s="285"/>
      <c r="J75" s="285"/>
      <c r="K75" s="285"/>
    </row>
    <row r="76" spans="2:11" ht="15" x14ac:dyDescent="0.4">
      <c r="B76" s="262" t="s">
        <v>238</v>
      </c>
      <c r="C76" s="263">
        <f>'VI. BE CH4-nAS'!E22</f>
        <v>3.87</v>
      </c>
      <c r="D76" s="264"/>
      <c r="E76" s="264"/>
      <c r="F76" s="283"/>
      <c r="G76" s="284"/>
      <c r="H76" s="264"/>
      <c r="I76" s="264"/>
      <c r="J76" s="264"/>
      <c r="K76" s="264"/>
    </row>
    <row r="77" spans="2:11" ht="16.5" thickBot="1" x14ac:dyDescent="0.45">
      <c r="B77" s="598" t="s">
        <v>239</v>
      </c>
      <c r="C77" s="599">
        <f>'III. Datos Entrada-BE'!C123</f>
        <v>0.13</v>
      </c>
      <c r="D77" s="264"/>
      <c r="E77" s="264"/>
      <c r="F77" s="283"/>
      <c r="G77" s="284"/>
      <c r="H77" s="264"/>
      <c r="I77" s="264"/>
      <c r="J77" s="264"/>
      <c r="K77" s="264"/>
    </row>
    <row r="78" spans="2:11" ht="13.5" thickBot="1" x14ac:dyDescent="0.35">
      <c r="B78" s="267"/>
      <c r="C78" s="268"/>
      <c r="D78" s="264"/>
      <c r="E78" s="264"/>
      <c r="F78" s="283"/>
      <c r="G78" s="284"/>
      <c r="H78" s="264"/>
      <c r="I78" s="264"/>
      <c r="J78" s="264"/>
      <c r="K78" s="264"/>
    </row>
    <row r="79" spans="2:11" s="22" customFormat="1" ht="28.5" thickBot="1" x14ac:dyDescent="0.45">
      <c r="B79" s="269" t="s">
        <v>240</v>
      </c>
      <c r="C79" s="71" t="s">
        <v>241</v>
      </c>
      <c r="D79" s="71" t="s">
        <v>242</v>
      </c>
      <c r="E79" s="270" t="s">
        <v>243</v>
      </c>
      <c r="F79" s="271" t="s">
        <v>244</v>
      </c>
      <c r="G79" s="12"/>
    </row>
    <row r="80" spans="2:11" ht="12.5" x14ac:dyDescent="0.25">
      <c r="B80" s="272">
        <f>'IV. Datos Entrada-PE'!B174</f>
        <v>0</v>
      </c>
      <c r="C80" s="383">
        <f>'IV. Datos Entrada-PE'!D174</f>
        <v>0</v>
      </c>
      <c r="D80" s="224">
        <f>'IV. Datos Entrada-PE'!F193</f>
        <v>0</v>
      </c>
      <c r="E80" s="273">
        <f>C80*D80</f>
        <v>0</v>
      </c>
      <c r="F80" s="1250"/>
      <c r="G80" s="3"/>
    </row>
    <row r="81" spans="2:11" ht="12.5" x14ac:dyDescent="0.25">
      <c r="B81" s="600">
        <f>'IV. Datos Entrada-PE'!B175</f>
        <v>0</v>
      </c>
      <c r="C81" s="685">
        <f>'IV. Datos Entrada-PE'!D175</f>
        <v>0</v>
      </c>
      <c r="D81" s="682">
        <f>'IV. Datos Entrada-PE'!F194</f>
        <v>0</v>
      </c>
      <c r="E81" s="274">
        <f t="shared" ref="E81:E91" si="3">C81*D81</f>
        <v>0</v>
      </c>
      <c r="F81" s="1251"/>
      <c r="G81" s="3"/>
    </row>
    <row r="82" spans="2:11" ht="12.5" x14ac:dyDescent="0.25">
      <c r="B82" s="600">
        <f>'IV. Datos Entrada-PE'!B177</f>
        <v>0</v>
      </c>
      <c r="C82" s="685">
        <f>'IV. Datos Entrada-PE'!D177</f>
        <v>0</v>
      </c>
      <c r="D82" s="682">
        <f>'IV. Datos Entrada-PE'!F197</f>
        <v>0</v>
      </c>
      <c r="E82" s="274">
        <f t="shared" si="3"/>
        <v>0</v>
      </c>
      <c r="F82" s="1251"/>
      <c r="G82" s="3"/>
    </row>
    <row r="83" spans="2:11" ht="12.5" x14ac:dyDescent="0.25">
      <c r="B83" s="600">
        <f>'IV. Datos Entrada-PE'!B178</f>
        <v>0</v>
      </c>
      <c r="C83" s="685">
        <f>'IV. Datos Entrada-PE'!D178</f>
        <v>0</v>
      </c>
      <c r="D83" s="682">
        <f>'IV. Datos Entrada-PE'!F198</f>
        <v>0</v>
      </c>
      <c r="E83" s="274">
        <f t="shared" si="3"/>
        <v>0</v>
      </c>
      <c r="F83" s="1251"/>
      <c r="G83" s="3"/>
    </row>
    <row r="84" spans="2:11" ht="12.5" x14ac:dyDescent="0.25">
      <c r="B84" s="600">
        <f>'IV. Datos Entrada-PE'!B179</f>
        <v>0</v>
      </c>
      <c r="C84" s="685">
        <f>'IV. Datos Entrada-PE'!D179</f>
        <v>0</v>
      </c>
      <c r="D84" s="682">
        <f>'IV. Datos Entrada-PE'!F199</f>
        <v>0</v>
      </c>
      <c r="E84" s="274">
        <f t="shared" si="3"/>
        <v>0</v>
      </c>
      <c r="F84" s="1251"/>
      <c r="G84" s="3"/>
    </row>
    <row r="85" spans="2:11" ht="12.5" x14ac:dyDescent="0.25">
      <c r="B85" s="600">
        <f>'IV. Datos Entrada-PE'!B180</f>
        <v>0</v>
      </c>
      <c r="C85" s="685">
        <f>'IV. Datos Entrada-PE'!D180</f>
        <v>0</v>
      </c>
      <c r="D85" s="682">
        <f>'IV. Datos Entrada-PE'!F200</f>
        <v>0</v>
      </c>
      <c r="E85" s="274">
        <f t="shared" si="3"/>
        <v>0</v>
      </c>
      <c r="F85" s="1251"/>
      <c r="G85" s="3"/>
    </row>
    <row r="86" spans="2:11" ht="12.5" x14ac:dyDescent="0.25">
      <c r="B86" s="600">
        <f>'IV. Datos Entrada-PE'!B181</f>
        <v>0</v>
      </c>
      <c r="C86" s="685">
        <f>'IV. Datos Entrada-PE'!D181</f>
        <v>0</v>
      </c>
      <c r="D86" s="682">
        <f>'IV. Datos Entrada-PE'!F201</f>
        <v>0</v>
      </c>
      <c r="E86" s="274">
        <f t="shared" si="3"/>
        <v>0</v>
      </c>
      <c r="F86" s="1251"/>
      <c r="G86" s="3"/>
    </row>
    <row r="87" spans="2:11" ht="12.5" x14ac:dyDescent="0.25">
      <c r="B87" s="600">
        <f>'IV. Datos Entrada-PE'!B182</f>
        <v>0</v>
      </c>
      <c r="C87" s="685">
        <f>'IV. Datos Entrada-PE'!D182</f>
        <v>0</v>
      </c>
      <c r="D87" s="682">
        <f>'IV. Datos Entrada-PE'!F202</f>
        <v>0</v>
      </c>
      <c r="E87" s="274">
        <f t="shared" si="3"/>
        <v>0</v>
      </c>
      <c r="F87" s="1251"/>
      <c r="G87" s="3"/>
    </row>
    <row r="88" spans="2:11" s="22" customFormat="1" x14ac:dyDescent="0.3">
      <c r="B88" s="600">
        <f>'IV. Datos Entrada-PE'!B183</f>
        <v>0</v>
      </c>
      <c r="C88" s="685">
        <f>'IV. Datos Entrada-PE'!D183</f>
        <v>0</v>
      </c>
      <c r="D88" s="682">
        <f>'IV. Datos Entrada-PE'!F203</f>
        <v>0</v>
      </c>
      <c r="E88" s="274">
        <f t="shared" si="3"/>
        <v>0</v>
      </c>
      <c r="F88" s="1251"/>
      <c r="G88" s="3"/>
      <c r="H88" s="2"/>
      <c r="I88" s="2"/>
      <c r="J88" s="2"/>
      <c r="K88" s="2"/>
    </row>
    <row r="89" spans="2:11" ht="12.5" x14ac:dyDescent="0.25">
      <c r="B89" s="600">
        <f>'IV. Datos Entrada-PE'!B184</f>
        <v>0</v>
      </c>
      <c r="C89" s="685">
        <f>'IV. Datos Entrada-PE'!D184</f>
        <v>0</v>
      </c>
      <c r="D89" s="682">
        <f>'IV. Datos Entrada-PE'!F204</f>
        <v>0</v>
      </c>
      <c r="E89" s="274">
        <f t="shared" si="3"/>
        <v>0</v>
      </c>
      <c r="F89" s="1251"/>
      <c r="G89" s="3"/>
    </row>
    <row r="90" spans="2:11" ht="12.5" x14ac:dyDescent="0.25">
      <c r="B90" s="600">
        <f>'IV. Datos Entrada-PE'!B185</f>
        <v>0</v>
      </c>
      <c r="C90" s="685">
        <f>'IV. Datos Entrada-PE'!D185</f>
        <v>0</v>
      </c>
      <c r="D90" s="682">
        <f>'IV. Datos Entrada-PE'!F205</f>
        <v>0</v>
      </c>
      <c r="E90" s="274">
        <f t="shared" si="3"/>
        <v>0</v>
      </c>
      <c r="F90" s="1251"/>
      <c r="G90" s="3"/>
    </row>
    <row r="91" spans="2:11" thickBot="1" x14ac:dyDescent="0.3">
      <c r="B91" s="601">
        <f>'IV. Datos Entrada-PE'!B186</f>
        <v>0</v>
      </c>
      <c r="C91" s="602">
        <f>'IV. Datos Entrada-PE'!D186</f>
        <v>0</v>
      </c>
      <c r="D91" s="582">
        <f>'IV. Datos Entrada-PE'!F206</f>
        <v>0</v>
      </c>
      <c r="E91" s="275">
        <f t="shared" si="3"/>
        <v>0</v>
      </c>
      <c r="F91" s="1252"/>
      <c r="G91" s="3"/>
    </row>
    <row r="92" spans="2:11" ht="13.5" thickBot="1" x14ac:dyDescent="0.35">
      <c r="B92" s="276" t="s">
        <v>185</v>
      </c>
      <c r="C92" s="277">
        <f>SUM(C80:C91)</f>
        <v>0</v>
      </c>
      <c r="D92" s="278">
        <f>SUM(D80:D91)</f>
        <v>0</v>
      </c>
      <c r="E92" s="275">
        <f>SUM(E80:E91)</f>
        <v>0</v>
      </c>
      <c r="F92" s="279">
        <f>E92*(C76*C77*0.717*'III. Datos Entrada-BE'!$G$44)</f>
        <v>0</v>
      </c>
      <c r="G92" s="3"/>
    </row>
    <row r="93" spans="2:11" x14ac:dyDescent="0.3">
      <c r="B93" s="13"/>
      <c r="E93" s="2"/>
      <c r="F93" s="280"/>
      <c r="G93" s="3"/>
    </row>
    <row r="94" spans="2:11" ht="13.5" thickBot="1" x14ac:dyDescent="0.35">
      <c r="B94" s="13"/>
      <c r="E94" s="2"/>
      <c r="F94" s="280"/>
      <c r="G94" s="3"/>
    </row>
    <row r="95" spans="2:11" ht="13.5" thickBot="1" x14ac:dyDescent="0.35">
      <c r="B95" s="1248" t="str">
        <f>'III. Datos Entrada-BE'!C57</f>
        <v>Terneros (en forraje, en pastos/pastizales) 
Calves (on forage, in pasture/rangeland)</v>
      </c>
      <c r="C95" s="1249"/>
      <c r="D95" s="285"/>
      <c r="E95" s="285"/>
      <c r="F95" s="286"/>
      <c r="G95" s="287"/>
      <c r="H95" s="285"/>
      <c r="I95" s="285"/>
      <c r="J95" s="285"/>
      <c r="K95" s="285"/>
    </row>
    <row r="96" spans="2:11" ht="15" x14ac:dyDescent="0.4">
      <c r="B96" s="262" t="s">
        <v>245</v>
      </c>
      <c r="C96" s="263">
        <f>'VI. BE CH4-nAS'!E23</f>
        <v>1.25</v>
      </c>
      <c r="D96" s="264"/>
      <c r="E96" s="264"/>
      <c r="F96" s="283"/>
      <c r="G96" s="284"/>
      <c r="H96" s="264"/>
      <c r="I96" s="264"/>
      <c r="J96" s="264"/>
      <c r="K96" s="264"/>
    </row>
    <row r="97" spans="2:11" ht="16.5" thickBot="1" x14ac:dyDescent="0.45">
      <c r="B97" s="598" t="s">
        <v>246</v>
      </c>
      <c r="C97" s="599">
        <f>'III. Datos Entrada-BE'!C124</f>
        <v>0.13</v>
      </c>
      <c r="D97" s="264"/>
      <c r="E97" s="264"/>
      <c r="F97" s="283"/>
      <c r="G97" s="284"/>
      <c r="H97" s="288"/>
      <c r="I97" s="264"/>
      <c r="J97" s="264"/>
      <c r="K97" s="264"/>
    </row>
    <row r="98" spans="2:11" ht="13.5" thickBot="1" x14ac:dyDescent="0.35">
      <c r="B98" s="267"/>
      <c r="C98" s="268"/>
      <c r="D98" s="264"/>
      <c r="E98" s="264"/>
      <c r="F98" s="283"/>
      <c r="G98" s="284"/>
      <c r="H98" s="264"/>
      <c r="I98" s="264"/>
      <c r="J98" s="264"/>
      <c r="K98" s="264"/>
    </row>
    <row r="99" spans="2:11" s="22" customFormat="1" ht="28.5" thickBot="1" x14ac:dyDescent="0.45">
      <c r="B99" s="269" t="s">
        <v>240</v>
      </c>
      <c r="C99" s="71" t="s">
        <v>241</v>
      </c>
      <c r="D99" s="71" t="s">
        <v>242</v>
      </c>
      <c r="E99" s="270" t="s">
        <v>243</v>
      </c>
      <c r="F99" s="271" t="s">
        <v>244</v>
      </c>
      <c r="G99" s="12"/>
    </row>
    <row r="100" spans="2:11" ht="12.5" x14ac:dyDescent="0.25">
      <c r="B100" s="272">
        <f>'IV. Datos Entrada-PE'!B174</f>
        <v>0</v>
      </c>
      <c r="C100" s="383">
        <f>'IV. Datos Entrada-PE'!D174</f>
        <v>0</v>
      </c>
      <c r="D100" s="224">
        <f>'IV. Datos Entrada-PE'!G193</f>
        <v>0</v>
      </c>
      <c r="E100" s="273">
        <f>C100*D100</f>
        <v>0</v>
      </c>
      <c r="F100" s="1250"/>
      <c r="G100" s="3"/>
    </row>
    <row r="101" spans="2:11" ht="12.5" x14ac:dyDescent="0.25">
      <c r="B101" s="600">
        <f>'IV. Datos Entrada-PE'!B175</f>
        <v>0</v>
      </c>
      <c r="C101" s="685">
        <f>'IV. Datos Entrada-PE'!D175</f>
        <v>0</v>
      </c>
      <c r="D101" s="682">
        <f>'IV. Datos Entrada-PE'!G194</f>
        <v>0</v>
      </c>
      <c r="E101" s="274">
        <f t="shared" ref="E101:E111" si="4">C101*D101</f>
        <v>0</v>
      </c>
      <c r="F101" s="1251"/>
      <c r="G101" s="3"/>
    </row>
    <row r="102" spans="2:11" ht="12.5" x14ac:dyDescent="0.25">
      <c r="B102" s="600">
        <f>'IV. Datos Entrada-PE'!B177</f>
        <v>0</v>
      </c>
      <c r="C102" s="685">
        <f>'IV. Datos Entrada-PE'!D177</f>
        <v>0</v>
      </c>
      <c r="D102" s="682">
        <f>'IV. Datos Entrada-PE'!G197</f>
        <v>0</v>
      </c>
      <c r="E102" s="274">
        <f t="shared" si="4"/>
        <v>0</v>
      </c>
      <c r="F102" s="1251"/>
      <c r="G102" s="3"/>
    </row>
    <row r="103" spans="2:11" ht="12.5" x14ac:dyDescent="0.25">
      <c r="B103" s="600">
        <f>'IV. Datos Entrada-PE'!B178</f>
        <v>0</v>
      </c>
      <c r="C103" s="685">
        <f>'IV. Datos Entrada-PE'!D178</f>
        <v>0</v>
      </c>
      <c r="D103" s="682">
        <f>'IV. Datos Entrada-PE'!G198</f>
        <v>0</v>
      </c>
      <c r="E103" s="274">
        <f t="shared" si="4"/>
        <v>0</v>
      </c>
      <c r="F103" s="1251"/>
      <c r="G103" s="3"/>
    </row>
    <row r="104" spans="2:11" ht="12.5" x14ac:dyDescent="0.25">
      <c r="B104" s="600">
        <f>'IV. Datos Entrada-PE'!B179</f>
        <v>0</v>
      </c>
      <c r="C104" s="685">
        <f>'IV. Datos Entrada-PE'!D179</f>
        <v>0</v>
      </c>
      <c r="D104" s="682">
        <f>'IV. Datos Entrada-PE'!G199</f>
        <v>0</v>
      </c>
      <c r="E104" s="274">
        <f t="shared" si="4"/>
        <v>0</v>
      </c>
      <c r="F104" s="1251"/>
      <c r="G104" s="3"/>
    </row>
    <row r="105" spans="2:11" ht="12.5" x14ac:dyDescent="0.25">
      <c r="B105" s="600">
        <f>'IV. Datos Entrada-PE'!B180</f>
        <v>0</v>
      </c>
      <c r="C105" s="685">
        <f>'IV. Datos Entrada-PE'!D180</f>
        <v>0</v>
      </c>
      <c r="D105" s="682">
        <f>'IV. Datos Entrada-PE'!G200</f>
        <v>0</v>
      </c>
      <c r="E105" s="274">
        <f t="shared" si="4"/>
        <v>0</v>
      </c>
      <c r="F105" s="1251"/>
      <c r="G105" s="3"/>
    </row>
    <row r="106" spans="2:11" ht="12.5" x14ac:dyDescent="0.25">
      <c r="B106" s="600">
        <f>'IV. Datos Entrada-PE'!B181</f>
        <v>0</v>
      </c>
      <c r="C106" s="685">
        <f>'IV. Datos Entrada-PE'!D181</f>
        <v>0</v>
      </c>
      <c r="D106" s="682">
        <f>'IV. Datos Entrada-PE'!G201</f>
        <v>0</v>
      </c>
      <c r="E106" s="274">
        <f t="shared" si="4"/>
        <v>0</v>
      </c>
      <c r="F106" s="1251"/>
      <c r="G106" s="3"/>
    </row>
    <row r="107" spans="2:11" ht="12.5" x14ac:dyDescent="0.25">
      <c r="B107" s="600">
        <f>'IV. Datos Entrada-PE'!B182</f>
        <v>0</v>
      </c>
      <c r="C107" s="685">
        <f>'IV. Datos Entrada-PE'!D182</f>
        <v>0</v>
      </c>
      <c r="D107" s="682">
        <f>'IV. Datos Entrada-PE'!G202</f>
        <v>0</v>
      </c>
      <c r="E107" s="274">
        <f t="shared" si="4"/>
        <v>0</v>
      </c>
      <c r="F107" s="1251"/>
      <c r="G107" s="3"/>
    </row>
    <row r="108" spans="2:11" ht="12.5" x14ac:dyDescent="0.25">
      <c r="B108" s="600">
        <f>'IV. Datos Entrada-PE'!B183</f>
        <v>0</v>
      </c>
      <c r="C108" s="685">
        <f>'IV. Datos Entrada-PE'!D183</f>
        <v>0</v>
      </c>
      <c r="D108" s="682">
        <f>'IV. Datos Entrada-PE'!G203</f>
        <v>0</v>
      </c>
      <c r="E108" s="274">
        <f t="shared" si="4"/>
        <v>0</v>
      </c>
      <c r="F108" s="1251"/>
      <c r="G108" s="3"/>
    </row>
    <row r="109" spans="2:11" ht="12.5" x14ac:dyDescent="0.25">
      <c r="B109" s="600">
        <f>'IV. Datos Entrada-PE'!B184</f>
        <v>0</v>
      </c>
      <c r="C109" s="685">
        <f>'IV. Datos Entrada-PE'!D184</f>
        <v>0</v>
      </c>
      <c r="D109" s="682">
        <f>'IV. Datos Entrada-PE'!G204</f>
        <v>0</v>
      </c>
      <c r="E109" s="274">
        <f t="shared" si="4"/>
        <v>0</v>
      </c>
      <c r="F109" s="1251"/>
      <c r="G109" s="3"/>
    </row>
    <row r="110" spans="2:11" ht="12.5" x14ac:dyDescent="0.25">
      <c r="B110" s="600">
        <f>'IV. Datos Entrada-PE'!B185</f>
        <v>0</v>
      </c>
      <c r="C110" s="685">
        <f>'IV. Datos Entrada-PE'!D185</f>
        <v>0</v>
      </c>
      <c r="D110" s="682">
        <f>'IV. Datos Entrada-PE'!G205</f>
        <v>0</v>
      </c>
      <c r="E110" s="274">
        <f t="shared" si="4"/>
        <v>0</v>
      </c>
      <c r="F110" s="1251"/>
      <c r="G110" s="3"/>
    </row>
    <row r="111" spans="2:11" thickBot="1" x14ac:dyDescent="0.3">
      <c r="B111" s="601">
        <f>'IV. Datos Entrada-PE'!B186</f>
        <v>0</v>
      </c>
      <c r="C111" s="602">
        <f>'IV. Datos Entrada-PE'!D186</f>
        <v>0</v>
      </c>
      <c r="D111" s="582">
        <f>'IV. Datos Entrada-PE'!G206</f>
        <v>0</v>
      </c>
      <c r="E111" s="275">
        <f t="shared" si="4"/>
        <v>0</v>
      </c>
      <c r="F111" s="1252"/>
      <c r="G111" s="3"/>
    </row>
    <row r="112" spans="2:11" ht="13.5" thickBot="1" x14ac:dyDescent="0.35">
      <c r="B112" s="276" t="s">
        <v>185</v>
      </c>
      <c r="C112" s="277">
        <f>SUM(C100:C111)</f>
        <v>0</v>
      </c>
      <c r="D112" s="278">
        <f>SUM(D100:D111)</f>
        <v>0</v>
      </c>
      <c r="E112" s="275">
        <f>SUM(E100:E111)</f>
        <v>0</v>
      </c>
      <c r="F112" s="279">
        <f>E112*(C96*C97*0.717*'III. Datos Entrada-BE'!$G$44)</f>
        <v>0</v>
      </c>
      <c r="G112" s="3"/>
    </row>
    <row r="113" spans="2:11" x14ac:dyDescent="0.3">
      <c r="B113" s="13"/>
      <c r="E113" s="2"/>
      <c r="F113" s="280"/>
      <c r="G113" s="3"/>
    </row>
    <row r="114" spans="2:11" ht="13.5" thickBot="1" x14ac:dyDescent="0.35">
      <c r="B114" s="13"/>
      <c r="E114" s="2"/>
      <c r="F114" s="280"/>
      <c r="G114" s="3"/>
    </row>
    <row r="115" spans="2:11" ht="13.5" thickBot="1" x14ac:dyDescent="0.35">
      <c r="B115" s="1248" t="str">
        <f>'III. Datos Entrada-BE'!C58</f>
        <v>Terneros (en lechero, en pastos/pastizales) 
Calves (on milk, in pasture/rangeland)</v>
      </c>
      <c r="C115" s="1249"/>
      <c r="D115" s="285"/>
      <c r="E115" s="285"/>
      <c r="F115" s="286"/>
      <c r="G115" s="287"/>
      <c r="H115" s="285"/>
      <c r="I115" s="285"/>
      <c r="J115" s="285"/>
      <c r="K115" s="285"/>
    </row>
    <row r="116" spans="2:11" ht="15" x14ac:dyDescent="0.4">
      <c r="B116" s="262" t="s">
        <v>238</v>
      </c>
      <c r="C116" s="263">
        <f>'VI. BE CH4-nAS'!E24</f>
        <v>0.52</v>
      </c>
      <c r="D116" s="264"/>
      <c r="E116" s="264"/>
      <c r="F116" s="283"/>
      <c r="G116" s="284"/>
      <c r="H116" s="264"/>
      <c r="I116" s="264"/>
      <c r="J116" s="264"/>
      <c r="K116" s="264"/>
    </row>
    <row r="117" spans="2:11" ht="16.5" thickBot="1" x14ac:dyDescent="0.45">
      <c r="B117" s="598" t="s">
        <v>239</v>
      </c>
      <c r="C117" s="599">
        <f>'III. Datos Entrada-BE'!C125</f>
        <v>0.13</v>
      </c>
      <c r="D117" s="264"/>
      <c r="E117" s="264"/>
      <c r="F117" s="283"/>
      <c r="G117" s="284"/>
      <c r="H117" s="264"/>
      <c r="I117" s="264"/>
      <c r="J117" s="264"/>
      <c r="K117" s="264"/>
    </row>
    <row r="118" spans="2:11" ht="13.5" thickBot="1" x14ac:dyDescent="0.35">
      <c r="B118" s="267"/>
      <c r="C118" s="268"/>
      <c r="D118" s="264"/>
      <c r="E118" s="264"/>
      <c r="F118" s="283"/>
      <c r="G118" s="284"/>
      <c r="H118" s="264"/>
      <c r="I118" s="264"/>
      <c r="J118" s="264"/>
      <c r="K118" s="264"/>
    </row>
    <row r="119" spans="2:11" s="22" customFormat="1" ht="28.5" thickBot="1" x14ac:dyDescent="0.45">
      <c r="B119" s="269" t="s">
        <v>240</v>
      </c>
      <c r="C119" s="71" t="s">
        <v>241</v>
      </c>
      <c r="D119" s="71" t="s">
        <v>242</v>
      </c>
      <c r="E119" s="270" t="s">
        <v>243</v>
      </c>
      <c r="F119" s="271" t="s">
        <v>244</v>
      </c>
      <c r="G119" s="12"/>
    </row>
    <row r="120" spans="2:11" ht="12.5" x14ac:dyDescent="0.25">
      <c r="B120" s="272">
        <f>'IV. Datos Entrada-PE'!B174</f>
        <v>0</v>
      </c>
      <c r="C120" s="383">
        <f>'IV. Datos Entrada-PE'!D174</f>
        <v>0</v>
      </c>
      <c r="D120" s="224">
        <f>'IV. Datos Entrada-PE'!H193</f>
        <v>0</v>
      </c>
      <c r="E120" s="273">
        <f>C120*D120</f>
        <v>0</v>
      </c>
      <c r="F120" s="1250"/>
      <c r="G120" s="3"/>
    </row>
    <row r="121" spans="2:11" ht="12.5" x14ac:dyDescent="0.25">
      <c r="B121" s="600">
        <f>'IV. Datos Entrada-PE'!B175</f>
        <v>0</v>
      </c>
      <c r="C121" s="685">
        <f>'IV. Datos Entrada-PE'!D175</f>
        <v>0</v>
      </c>
      <c r="D121" s="682">
        <f>'IV. Datos Entrada-PE'!H194</f>
        <v>0</v>
      </c>
      <c r="E121" s="274">
        <f t="shared" ref="E121:E131" si="5">C121*D121</f>
        <v>0</v>
      </c>
      <c r="F121" s="1251"/>
      <c r="G121" s="3"/>
    </row>
    <row r="122" spans="2:11" ht="12.5" x14ac:dyDescent="0.25">
      <c r="B122" s="600">
        <f>'IV. Datos Entrada-PE'!B177</f>
        <v>0</v>
      </c>
      <c r="C122" s="685">
        <f>'IV. Datos Entrada-PE'!D177</f>
        <v>0</v>
      </c>
      <c r="D122" s="682">
        <f>'IV. Datos Entrada-PE'!H197</f>
        <v>0</v>
      </c>
      <c r="E122" s="274">
        <f t="shared" si="5"/>
        <v>0</v>
      </c>
      <c r="F122" s="1251"/>
      <c r="G122" s="3"/>
    </row>
    <row r="123" spans="2:11" ht="12.5" x14ac:dyDescent="0.25">
      <c r="B123" s="600">
        <f>'IV. Datos Entrada-PE'!B178</f>
        <v>0</v>
      </c>
      <c r="C123" s="685">
        <f>'IV. Datos Entrada-PE'!D178</f>
        <v>0</v>
      </c>
      <c r="D123" s="682">
        <f>'IV. Datos Entrada-PE'!H198</f>
        <v>0</v>
      </c>
      <c r="E123" s="274">
        <f t="shared" si="5"/>
        <v>0</v>
      </c>
      <c r="F123" s="1251"/>
      <c r="G123" s="3"/>
    </row>
    <row r="124" spans="2:11" ht="12.5" x14ac:dyDescent="0.25">
      <c r="B124" s="600">
        <f>'IV. Datos Entrada-PE'!B179</f>
        <v>0</v>
      </c>
      <c r="C124" s="685">
        <f>'IV. Datos Entrada-PE'!D179</f>
        <v>0</v>
      </c>
      <c r="D124" s="682">
        <f>'IV. Datos Entrada-PE'!H199</f>
        <v>0</v>
      </c>
      <c r="E124" s="274">
        <f t="shared" si="5"/>
        <v>0</v>
      </c>
      <c r="F124" s="1251"/>
      <c r="G124" s="3"/>
    </row>
    <row r="125" spans="2:11" ht="12.5" x14ac:dyDescent="0.25">
      <c r="B125" s="600">
        <f>'IV. Datos Entrada-PE'!B180</f>
        <v>0</v>
      </c>
      <c r="C125" s="685">
        <f>'IV. Datos Entrada-PE'!D180</f>
        <v>0</v>
      </c>
      <c r="D125" s="682">
        <f>'IV. Datos Entrada-PE'!H200</f>
        <v>0</v>
      </c>
      <c r="E125" s="274">
        <f t="shared" si="5"/>
        <v>0</v>
      </c>
      <c r="F125" s="1251"/>
      <c r="G125" s="3"/>
    </row>
    <row r="126" spans="2:11" ht="12.5" x14ac:dyDescent="0.25">
      <c r="B126" s="600">
        <f>'IV. Datos Entrada-PE'!B181</f>
        <v>0</v>
      </c>
      <c r="C126" s="685">
        <f>'IV. Datos Entrada-PE'!D181</f>
        <v>0</v>
      </c>
      <c r="D126" s="682">
        <f>'IV. Datos Entrada-PE'!H201</f>
        <v>0</v>
      </c>
      <c r="E126" s="274">
        <f t="shared" si="5"/>
        <v>0</v>
      </c>
      <c r="F126" s="1251"/>
      <c r="G126" s="3"/>
    </row>
    <row r="127" spans="2:11" ht="12.5" x14ac:dyDescent="0.25">
      <c r="B127" s="600">
        <f>'IV. Datos Entrada-PE'!B182</f>
        <v>0</v>
      </c>
      <c r="C127" s="685">
        <f>'IV. Datos Entrada-PE'!D182</f>
        <v>0</v>
      </c>
      <c r="D127" s="682">
        <f>'IV. Datos Entrada-PE'!H202</f>
        <v>0</v>
      </c>
      <c r="E127" s="274">
        <f t="shared" si="5"/>
        <v>0</v>
      </c>
      <c r="F127" s="1251"/>
      <c r="G127" s="3"/>
    </row>
    <row r="128" spans="2:11" ht="12.5" x14ac:dyDescent="0.25">
      <c r="B128" s="600">
        <f>'IV. Datos Entrada-PE'!B183</f>
        <v>0</v>
      </c>
      <c r="C128" s="685">
        <f>'IV. Datos Entrada-PE'!D183</f>
        <v>0</v>
      </c>
      <c r="D128" s="682">
        <f>'IV. Datos Entrada-PE'!H203</f>
        <v>0</v>
      </c>
      <c r="E128" s="274">
        <f t="shared" si="5"/>
        <v>0</v>
      </c>
      <c r="F128" s="1251"/>
      <c r="G128" s="3"/>
    </row>
    <row r="129" spans="2:11" ht="12.5" x14ac:dyDescent="0.25">
      <c r="B129" s="600">
        <f>'IV. Datos Entrada-PE'!B184</f>
        <v>0</v>
      </c>
      <c r="C129" s="685">
        <f>'IV. Datos Entrada-PE'!D184</f>
        <v>0</v>
      </c>
      <c r="D129" s="682">
        <f>'IV. Datos Entrada-PE'!H204</f>
        <v>0</v>
      </c>
      <c r="E129" s="274">
        <f t="shared" si="5"/>
        <v>0</v>
      </c>
      <c r="F129" s="1251"/>
      <c r="G129" s="3"/>
    </row>
    <row r="130" spans="2:11" ht="12.5" x14ac:dyDescent="0.25">
      <c r="B130" s="600">
        <f>'IV. Datos Entrada-PE'!B185</f>
        <v>0</v>
      </c>
      <c r="C130" s="685">
        <f>'IV. Datos Entrada-PE'!D185</f>
        <v>0</v>
      </c>
      <c r="D130" s="682">
        <f>'IV. Datos Entrada-PE'!H205</f>
        <v>0</v>
      </c>
      <c r="E130" s="274">
        <f t="shared" si="5"/>
        <v>0</v>
      </c>
      <c r="F130" s="1251"/>
      <c r="G130" s="3"/>
    </row>
    <row r="131" spans="2:11" thickBot="1" x14ac:dyDescent="0.3">
      <c r="B131" s="601">
        <f>'IV. Datos Entrada-PE'!B186</f>
        <v>0</v>
      </c>
      <c r="C131" s="602">
        <f>'IV. Datos Entrada-PE'!D186</f>
        <v>0</v>
      </c>
      <c r="D131" s="582">
        <f>'IV. Datos Entrada-PE'!H206</f>
        <v>0</v>
      </c>
      <c r="E131" s="275">
        <f t="shared" si="5"/>
        <v>0</v>
      </c>
      <c r="F131" s="1252"/>
      <c r="G131" s="3"/>
    </row>
    <row r="132" spans="2:11" ht="13.5" thickBot="1" x14ac:dyDescent="0.35">
      <c r="B132" s="276" t="s">
        <v>185</v>
      </c>
      <c r="C132" s="277">
        <f>SUM(C120:C131)</f>
        <v>0</v>
      </c>
      <c r="D132" s="278">
        <f>SUM(D120:D131)</f>
        <v>0</v>
      </c>
      <c r="E132" s="275">
        <f>SUM(E120:E131)</f>
        <v>0</v>
      </c>
      <c r="F132" s="279">
        <f>E132*(C116*C117*0.717*'III. Datos Entrada-BE'!$G$44)</f>
        <v>0</v>
      </c>
      <c r="G132" s="3"/>
    </row>
    <row r="133" spans="2:11" x14ac:dyDescent="0.3">
      <c r="B133" s="13"/>
      <c r="E133" s="2"/>
      <c r="F133" s="280"/>
      <c r="G133" s="3"/>
    </row>
    <row r="134" spans="2:11" ht="13.5" thickBot="1" x14ac:dyDescent="0.35">
      <c r="B134" s="13"/>
      <c r="E134" s="2"/>
      <c r="F134" s="280"/>
      <c r="G134" s="3"/>
    </row>
    <row r="135" spans="2:11" ht="13.5" thickBot="1" x14ac:dyDescent="0.35">
      <c r="B135" s="1248" t="str">
        <f>'III. Datos Entrada-BE'!C59</f>
        <v>Novillas y novillos (en pastos/pastizales)
Heifers and Steers (in pasture/rangeland)</v>
      </c>
      <c r="C135" s="1249"/>
      <c r="D135" s="285"/>
      <c r="E135" s="285"/>
      <c r="F135" s="286"/>
      <c r="G135" s="287"/>
      <c r="H135" s="285"/>
      <c r="I135" s="285"/>
      <c r="J135" s="285"/>
      <c r="K135" s="285"/>
    </row>
    <row r="136" spans="2:11" ht="15" x14ac:dyDescent="0.4">
      <c r="B136" s="262" t="s">
        <v>238</v>
      </c>
      <c r="C136" s="263">
        <f>'VI. BE CH4-nAS'!E25</f>
        <v>2.86</v>
      </c>
      <c r="D136" s="264"/>
      <c r="E136" s="264"/>
      <c r="F136" s="283"/>
      <c r="G136" s="284"/>
      <c r="H136" s="264"/>
      <c r="I136" s="264"/>
      <c r="J136" s="264"/>
      <c r="K136" s="264"/>
    </row>
    <row r="137" spans="2:11" ht="16.5" thickBot="1" x14ac:dyDescent="0.45">
      <c r="B137" s="598" t="s">
        <v>239</v>
      </c>
      <c r="C137" s="599">
        <f>'III. Datos Entrada-BE'!C126</f>
        <v>0.17</v>
      </c>
      <c r="D137" s="264"/>
      <c r="E137" s="264"/>
      <c r="F137" s="283"/>
      <c r="G137" s="284"/>
      <c r="H137" s="264"/>
      <c r="I137" s="264"/>
      <c r="J137" s="264"/>
      <c r="K137" s="264"/>
    </row>
    <row r="138" spans="2:11" ht="13.5" thickBot="1" x14ac:dyDescent="0.35">
      <c r="B138" s="267"/>
      <c r="C138" s="289"/>
      <c r="D138" s="264"/>
      <c r="E138" s="264"/>
      <c r="F138" s="283"/>
      <c r="G138" s="284"/>
      <c r="H138" s="264"/>
      <c r="I138" s="264"/>
      <c r="J138" s="264"/>
      <c r="K138" s="264"/>
    </row>
    <row r="139" spans="2:11" s="22" customFormat="1" ht="28.5" thickBot="1" x14ac:dyDescent="0.45">
      <c r="B139" s="269" t="s">
        <v>240</v>
      </c>
      <c r="C139" s="71" t="s">
        <v>241</v>
      </c>
      <c r="D139" s="71" t="s">
        <v>242</v>
      </c>
      <c r="E139" s="270" t="s">
        <v>243</v>
      </c>
      <c r="F139" s="271" t="s">
        <v>244</v>
      </c>
      <c r="G139" s="12"/>
    </row>
    <row r="140" spans="2:11" ht="12.5" x14ac:dyDescent="0.25">
      <c r="B140" s="272">
        <f>'IV. Datos Entrada-PE'!B174</f>
        <v>0</v>
      </c>
      <c r="C140" s="383">
        <f>'IV. Datos Entrada-PE'!D174</f>
        <v>0</v>
      </c>
      <c r="D140" s="224">
        <f>'IV. Datos Entrada-PE'!I193</f>
        <v>0</v>
      </c>
      <c r="E140" s="273">
        <f>C140*D140</f>
        <v>0</v>
      </c>
      <c r="F140" s="1250"/>
      <c r="G140" s="3"/>
    </row>
    <row r="141" spans="2:11" ht="12.5" x14ac:dyDescent="0.25">
      <c r="B141" s="600">
        <f>'IV. Datos Entrada-PE'!B175</f>
        <v>0</v>
      </c>
      <c r="C141" s="685">
        <f>'IV. Datos Entrada-PE'!D175</f>
        <v>0</v>
      </c>
      <c r="D141" s="682">
        <f>'IV. Datos Entrada-PE'!I194</f>
        <v>0</v>
      </c>
      <c r="E141" s="274">
        <f t="shared" ref="E141:E151" si="6">C141*D141</f>
        <v>0</v>
      </c>
      <c r="F141" s="1251"/>
      <c r="G141" s="3"/>
    </row>
    <row r="142" spans="2:11" ht="12.5" x14ac:dyDescent="0.25">
      <c r="B142" s="600">
        <f>'IV. Datos Entrada-PE'!B177</f>
        <v>0</v>
      </c>
      <c r="C142" s="685">
        <f>'IV. Datos Entrada-PE'!D177</f>
        <v>0</v>
      </c>
      <c r="D142" s="682">
        <f>'IV. Datos Entrada-PE'!I197</f>
        <v>0</v>
      </c>
      <c r="E142" s="274">
        <f t="shared" si="6"/>
        <v>0</v>
      </c>
      <c r="F142" s="1251"/>
      <c r="G142" s="3"/>
    </row>
    <row r="143" spans="2:11" ht="12.5" x14ac:dyDescent="0.25">
      <c r="B143" s="600">
        <f>'IV. Datos Entrada-PE'!B178</f>
        <v>0</v>
      </c>
      <c r="C143" s="685">
        <f>'IV. Datos Entrada-PE'!D178</f>
        <v>0</v>
      </c>
      <c r="D143" s="682">
        <f>'IV. Datos Entrada-PE'!I198</f>
        <v>0</v>
      </c>
      <c r="E143" s="274">
        <f t="shared" si="6"/>
        <v>0</v>
      </c>
      <c r="F143" s="1251"/>
      <c r="G143" s="3"/>
    </row>
    <row r="144" spans="2:11" ht="12.5" x14ac:dyDescent="0.25">
      <c r="B144" s="600">
        <f>'IV. Datos Entrada-PE'!B179</f>
        <v>0</v>
      </c>
      <c r="C144" s="685">
        <f>'IV. Datos Entrada-PE'!D179</f>
        <v>0</v>
      </c>
      <c r="D144" s="682">
        <f>'IV. Datos Entrada-PE'!I199</f>
        <v>0</v>
      </c>
      <c r="E144" s="274">
        <f t="shared" si="6"/>
        <v>0</v>
      </c>
      <c r="F144" s="1251"/>
      <c r="G144" s="3"/>
    </row>
    <row r="145" spans="2:11" ht="12.5" x14ac:dyDescent="0.25">
      <c r="B145" s="600">
        <f>'IV. Datos Entrada-PE'!B180</f>
        <v>0</v>
      </c>
      <c r="C145" s="685">
        <f>'IV. Datos Entrada-PE'!D180</f>
        <v>0</v>
      </c>
      <c r="D145" s="682">
        <f>'IV. Datos Entrada-PE'!I200</f>
        <v>0</v>
      </c>
      <c r="E145" s="274">
        <f t="shared" si="6"/>
        <v>0</v>
      </c>
      <c r="F145" s="1251"/>
      <c r="G145" s="3"/>
    </row>
    <row r="146" spans="2:11" ht="12.5" x14ac:dyDescent="0.25">
      <c r="B146" s="600">
        <f>'IV. Datos Entrada-PE'!B181</f>
        <v>0</v>
      </c>
      <c r="C146" s="685">
        <f>'IV. Datos Entrada-PE'!D181</f>
        <v>0</v>
      </c>
      <c r="D146" s="682">
        <f>'IV. Datos Entrada-PE'!I201</f>
        <v>0</v>
      </c>
      <c r="E146" s="274">
        <f t="shared" si="6"/>
        <v>0</v>
      </c>
      <c r="F146" s="1251"/>
      <c r="G146" s="3"/>
    </row>
    <row r="147" spans="2:11" ht="12.5" x14ac:dyDescent="0.25">
      <c r="B147" s="600">
        <f>'IV. Datos Entrada-PE'!B182</f>
        <v>0</v>
      </c>
      <c r="C147" s="685">
        <f>'IV. Datos Entrada-PE'!D182</f>
        <v>0</v>
      </c>
      <c r="D147" s="682">
        <f>'IV. Datos Entrada-PE'!I202</f>
        <v>0</v>
      </c>
      <c r="E147" s="274">
        <f t="shared" si="6"/>
        <v>0</v>
      </c>
      <c r="F147" s="1251"/>
      <c r="G147" s="3"/>
    </row>
    <row r="148" spans="2:11" ht="12.5" x14ac:dyDescent="0.25">
      <c r="B148" s="600">
        <f>'IV. Datos Entrada-PE'!B183</f>
        <v>0</v>
      </c>
      <c r="C148" s="685">
        <f>'IV. Datos Entrada-PE'!D183</f>
        <v>0</v>
      </c>
      <c r="D148" s="682">
        <f>'IV. Datos Entrada-PE'!I203</f>
        <v>0</v>
      </c>
      <c r="E148" s="274">
        <f t="shared" si="6"/>
        <v>0</v>
      </c>
      <c r="F148" s="1251"/>
      <c r="G148" s="3"/>
    </row>
    <row r="149" spans="2:11" ht="12.5" x14ac:dyDescent="0.25">
      <c r="B149" s="600">
        <f>'IV. Datos Entrada-PE'!B184</f>
        <v>0</v>
      </c>
      <c r="C149" s="685">
        <f>'IV. Datos Entrada-PE'!D184</f>
        <v>0</v>
      </c>
      <c r="D149" s="682">
        <f>'IV. Datos Entrada-PE'!I204</f>
        <v>0</v>
      </c>
      <c r="E149" s="274">
        <f t="shared" si="6"/>
        <v>0</v>
      </c>
      <c r="F149" s="1251"/>
      <c r="G149" s="3"/>
    </row>
    <row r="150" spans="2:11" ht="12.5" x14ac:dyDescent="0.25">
      <c r="B150" s="600">
        <f>'IV. Datos Entrada-PE'!B185</f>
        <v>0</v>
      </c>
      <c r="C150" s="685">
        <f>'IV. Datos Entrada-PE'!D185</f>
        <v>0</v>
      </c>
      <c r="D150" s="682">
        <f>'IV. Datos Entrada-PE'!I205</f>
        <v>0</v>
      </c>
      <c r="E150" s="274">
        <f t="shared" si="6"/>
        <v>0</v>
      </c>
      <c r="F150" s="1251"/>
      <c r="G150" s="3"/>
    </row>
    <row r="151" spans="2:11" thickBot="1" x14ac:dyDescent="0.3">
      <c r="B151" s="601">
        <f>'IV. Datos Entrada-PE'!B186</f>
        <v>0</v>
      </c>
      <c r="C151" s="602">
        <f>'IV. Datos Entrada-PE'!D186</f>
        <v>0</v>
      </c>
      <c r="D151" s="582">
        <f>'IV. Datos Entrada-PE'!I206</f>
        <v>0</v>
      </c>
      <c r="E151" s="275">
        <f t="shared" si="6"/>
        <v>0</v>
      </c>
      <c r="F151" s="1252"/>
      <c r="G151" s="3"/>
    </row>
    <row r="152" spans="2:11" ht="13.5" thickBot="1" x14ac:dyDescent="0.35">
      <c r="B152" s="276" t="s">
        <v>185</v>
      </c>
      <c r="C152" s="277">
        <f>SUM(C140:C151)</f>
        <v>0</v>
      </c>
      <c r="D152" s="278">
        <f>SUM(D140:D151)</f>
        <v>0</v>
      </c>
      <c r="E152" s="275">
        <f>SUM(E140:E151)</f>
        <v>0</v>
      </c>
      <c r="F152" s="279">
        <f>E152*(C136*C137*0.717*'III. Datos Entrada-BE'!$G$44)</f>
        <v>0</v>
      </c>
      <c r="G152" s="3"/>
    </row>
    <row r="153" spans="2:11" x14ac:dyDescent="0.3">
      <c r="B153" s="13"/>
      <c r="C153" s="9"/>
      <c r="D153" s="9"/>
      <c r="E153" s="9"/>
      <c r="F153" s="280"/>
      <c r="G153" s="3"/>
    </row>
    <row r="154" spans="2:11" ht="13.5" thickBot="1" x14ac:dyDescent="0.35">
      <c r="B154" s="13"/>
      <c r="E154" s="2"/>
      <c r="F154" s="280"/>
      <c r="G154" s="3"/>
    </row>
    <row r="155" spans="2:11" s="11" customFormat="1" ht="13.5" thickBot="1" x14ac:dyDescent="0.35">
      <c r="B155" s="1248" t="str">
        <f>'III. Datos Entrada-BE'!C60</f>
        <v>Vacas (en pastos/pastizales) 
Cows (in pasture/rangeland)</v>
      </c>
      <c r="C155" s="1249"/>
      <c r="D155" s="285"/>
      <c r="E155" s="285"/>
      <c r="F155" s="286"/>
      <c r="G155" s="287"/>
      <c r="H155" s="285"/>
      <c r="I155" s="285"/>
      <c r="J155" s="285"/>
      <c r="K155" s="285"/>
    </row>
    <row r="156" spans="2:11" ht="15" x14ac:dyDescent="0.4">
      <c r="B156" s="262" t="s">
        <v>238</v>
      </c>
      <c r="C156" s="263">
        <f>'VI. BE CH4-nAS'!E26</f>
        <v>3.55</v>
      </c>
      <c r="D156" s="264"/>
      <c r="E156" s="264"/>
      <c r="F156" s="283"/>
      <c r="G156" s="284"/>
      <c r="H156" s="264"/>
      <c r="I156" s="264"/>
      <c r="J156" s="264"/>
      <c r="K156" s="264"/>
    </row>
    <row r="157" spans="2:11" ht="16.5" thickBot="1" x14ac:dyDescent="0.45">
      <c r="B157" s="598" t="s">
        <v>239</v>
      </c>
      <c r="C157" s="599">
        <f>'III. Datos Entrada-BE'!C127</f>
        <v>0.188</v>
      </c>
      <c r="D157" s="264"/>
      <c r="E157" s="264"/>
      <c r="F157" s="283"/>
      <c r="G157" s="284"/>
      <c r="H157" s="264"/>
      <c r="I157" s="264"/>
      <c r="J157" s="264"/>
      <c r="K157" s="264"/>
    </row>
    <row r="158" spans="2:11" ht="13.5" thickBot="1" x14ac:dyDescent="0.35">
      <c r="B158" s="267"/>
      <c r="C158" s="289"/>
      <c r="D158" s="264"/>
      <c r="E158" s="264"/>
      <c r="F158" s="283"/>
      <c r="G158" s="284"/>
      <c r="H158" s="264"/>
      <c r="I158" s="264"/>
      <c r="J158" s="264"/>
      <c r="K158" s="264"/>
    </row>
    <row r="159" spans="2:11" s="22" customFormat="1" ht="28.5" thickBot="1" x14ac:dyDescent="0.45">
      <c r="B159" s="269" t="s">
        <v>240</v>
      </c>
      <c r="C159" s="71" t="s">
        <v>241</v>
      </c>
      <c r="D159" s="71" t="s">
        <v>242</v>
      </c>
      <c r="E159" s="270" t="s">
        <v>243</v>
      </c>
      <c r="F159" s="271" t="s">
        <v>244</v>
      </c>
      <c r="G159" s="12"/>
    </row>
    <row r="160" spans="2:11" ht="12.5" x14ac:dyDescent="0.25">
      <c r="B160" s="272">
        <f>'IV. Datos Entrada-PE'!B174</f>
        <v>0</v>
      </c>
      <c r="C160" s="383">
        <f>'IV. Datos Entrada-PE'!D174</f>
        <v>0</v>
      </c>
      <c r="D160" s="224">
        <f>'IV. Datos Entrada-PE'!J193</f>
        <v>0</v>
      </c>
      <c r="E160" s="273">
        <f>C160*D160</f>
        <v>0</v>
      </c>
      <c r="F160" s="1250"/>
      <c r="G160" s="3"/>
    </row>
    <row r="161" spans="2:11" ht="12.5" x14ac:dyDescent="0.25">
      <c r="B161" s="600">
        <f>'IV. Datos Entrada-PE'!B175</f>
        <v>0</v>
      </c>
      <c r="C161" s="685">
        <f>'IV. Datos Entrada-PE'!D175</f>
        <v>0</v>
      </c>
      <c r="D161" s="682">
        <f>'IV. Datos Entrada-PE'!J194</f>
        <v>0</v>
      </c>
      <c r="E161" s="274">
        <f t="shared" ref="E161:E171" si="7">C161*D161</f>
        <v>0</v>
      </c>
      <c r="F161" s="1251"/>
      <c r="G161" s="3"/>
    </row>
    <row r="162" spans="2:11" ht="12.5" x14ac:dyDescent="0.25">
      <c r="B162" s="600">
        <f>'IV. Datos Entrada-PE'!B177</f>
        <v>0</v>
      </c>
      <c r="C162" s="685">
        <f>'IV. Datos Entrada-PE'!D177</f>
        <v>0</v>
      </c>
      <c r="D162" s="682">
        <f>'IV. Datos Entrada-PE'!J197</f>
        <v>0</v>
      </c>
      <c r="E162" s="274">
        <f t="shared" si="7"/>
        <v>0</v>
      </c>
      <c r="F162" s="1251"/>
      <c r="G162" s="3"/>
    </row>
    <row r="163" spans="2:11" ht="12.5" x14ac:dyDescent="0.25">
      <c r="B163" s="600">
        <f>'IV. Datos Entrada-PE'!B178</f>
        <v>0</v>
      </c>
      <c r="C163" s="685">
        <f>'IV. Datos Entrada-PE'!D178</f>
        <v>0</v>
      </c>
      <c r="D163" s="682">
        <f>'IV. Datos Entrada-PE'!J198</f>
        <v>0</v>
      </c>
      <c r="E163" s="274">
        <f t="shared" si="7"/>
        <v>0</v>
      </c>
      <c r="F163" s="1251"/>
      <c r="G163" s="3"/>
    </row>
    <row r="164" spans="2:11" ht="12.5" x14ac:dyDescent="0.25">
      <c r="B164" s="600">
        <f>'IV. Datos Entrada-PE'!B179</f>
        <v>0</v>
      </c>
      <c r="C164" s="685">
        <f>'IV. Datos Entrada-PE'!D179</f>
        <v>0</v>
      </c>
      <c r="D164" s="682">
        <f>'IV. Datos Entrada-PE'!J199</f>
        <v>0</v>
      </c>
      <c r="E164" s="274">
        <f t="shared" si="7"/>
        <v>0</v>
      </c>
      <c r="F164" s="1251"/>
      <c r="G164" s="3"/>
    </row>
    <row r="165" spans="2:11" ht="12.5" x14ac:dyDescent="0.25">
      <c r="B165" s="600">
        <f>'IV. Datos Entrada-PE'!B180</f>
        <v>0</v>
      </c>
      <c r="C165" s="685">
        <f>'IV. Datos Entrada-PE'!D180</f>
        <v>0</v>
      </c>
      <c r="D165" s="682">
        <f>'IV. Datos Entrada-PE'!J200</f>
        <v>0</v>
      </c>
      <c r="E165" s="274">
        <f t="shared" si="7"/>
        <v>0</v>
      </c>
      <c r="F165" s="1251"/>
      <c r="G165" s="3"/>
    </row>
    <row r="166" spans="2:11" ht="12.5" x14ac:dyDescent="0.25">
      <c r="B166" s="600">
        <f>'IV. Datos Entrada-PE'!B181</f>
        <v>0</v>
      </c>
      <c r="C166" s="685">
        <f>'IV. Datos Entrada-PE'!D181</f>
        <v>0</v>
      </c>
      <c r="D166" s="682">
        <f>'IV. Datos Entrada-PE'!J201</f>
        <v>0</v>
      </c>
      <c r="E166" s="274">
        <f t="shared" si="7"/>
        <v>0</v>
      </c>
      <c r="F166" s="1251"/>
      <c r="G166" s="3"/>
    </row>
    <row r="167" spans="2:11" ht="12.5" x14ac:dyDescent="0.25">
      <c r="B167" s="600">
        <f>'IV. Datos Entrada-PE'!B182</f>
        <v>0</v>
      </c>
      <c r="C167" s="685">
        <f>'IV. Datos Entrada-PE'!D182</f>
        <v>0</v>
      </c>
      <c r="D167" s="682">
        <f>'IV. Datos Entrada-PE'!J202</f>
        <v>0</v>
      </c>
      <c r="E167" s="274">
        <f t="shared" si="7"/>
        <v>0</v>
      </c>
      <c r="F167" s="1251"/>
      <c r="G167" s="3"/>
    </row>
    <row r="168" spans="2:11" ht="12.5" x14ac:dyDescent="0.25">
      <c r="B168" s="600">
        <f>'IV. Datos Entrada-PE'!B183</f>
        <v>0</v>
      </c>
      <c r="C168" s="685">
        <f>'IV. Datos Entrada-PE'!D183</f>
        <v>0</v>
      </c>
      <c r="D168" s="682">
        <f>'IV. Datos Entrada-PE'!J203</f>
        <v>0</v>
      </c>
      <c r="E168" s="274">
        <f t="shared" si="7"/>
        <v>0</v>
      </c>
      <c r="F168" s="1251"/>
      <c r="G168" s="3"/>
    </row>
    <row r="169" spans="2:11" ht="12.5" x14ac:dyDescent="0.25">
      <c r="B169" s="600">
        <f>'IV. Datos Entrada-PE'!B184</f>
        <v>0</v>
      </c>
      <c r="C169" s="685">
        <f>'IV. Datos Entrada-PE'!D184</f>
        <v>0</v>
      </c>
      <c r="D169" s="682">
        <f>'IV. Datos Entrada-PE'!J204</f>
        <v>0</v>
      </c>
      <c r="E169" s="274">
        <f t="shared" si="7"/>
        <v>0</v>
      </c>
      <c r="F169" s="1251"/>
      <c r="G169" s="3"/>
    </row>
    <row r="170" spans="2:11" ht="12.5" x14ac:dyDescent="0.25">
      <c r="B170" s="600">
        <f>'IV. Datos Entrada-PE'!B185</f>
        <v>0</v>
      </c>
      <c r="C170" s="685">
        <f>'IV. Datos Entrada-PE'!D185</f>
        <v>0</v>
      </c>
      <c r="D170" s="682">
        <f>'IV. Datos Entrada-PE'!J205</f>
        <v>0</v>
      </c>
      <c r="E170" s="274">
        <f t="shared" si="7"/>
        <v>0</v>
      </c>
      <c r="F170" s="1251"/>
      <c r="G170" s="3"/>
    </row>
    <row r="171" spans="2:11" thickBot="1" x14ac:dyDescent="0.3">
      <c r="B171" s="601">
        <f>'IV. Datos Entrada-PE'!B186</f>
        <v>0</v>
      </c>
      <c r="C171" s="602">
        <f>'IV. Datos Entrada-PE'!D186</f>
        <v>0</v>
      </c>
      <c r="D171" s="582">
        <f>'IV. Datos Entrada-PE'!J206</f>
        <v>0</v>
      </c>
      <c r="E171" s="275">
        <f t="shared" si="7"/>
        <v>0</v>
      </c>
      <c r="F171" s="1252"/>
      <c r="G171" s="3"/>
    </row>
    <row r="172" spans="2:11" ht="13.5" thickBot="1" x14ac:dyDescent="0.35">
      <c r="B172" s="276" t="s">
        <v>185</v>
      </c>
      <c r="C172" s="277">
        <f>SUM(C160:C171)</f>
        <v>0</v>
      </c>
      <c r="D172" s="278">
        <f>SUM(D160:D171)</f>
        <v>0</v>
      </c>
      <c r="E172" s="275">
        <f>SUM(E160:E171)</f>
        <v>0</v>
      </c>
      <c r="F172" s="279">
        <f>E172*(C156*C157*0.717*'III. Datos Entrada-BE'!$G$44)</f>
        <v>0</v>
      </c>
      <c r="G172" s="3"/>
    </row>
    <row r="173" spans="2:11" x14ac:dyDescent="0.3">
      <c r="B173" s="13"/>
      <c r="E173" s="2"/>
      <c r="F173" s="280"/>
      <c r="G173" s="3"/>
    </row>
    <row r="174" spans="2:11" ht="13.5" thickBot="1" x14ac:dyDescent="0.35">
      <c r="B174" s="13"/>
      <c r="E174" s="2"/>
      <c r="F174" s="280"/>
      <c r="G174" s="3"/>
    </row>
    <row r="175" spans="2:11" ht="13.5" thickBot="1" x14ac:dyDescent="0.35">
      <c r="B175" s="1248" t="str">
        <f>'III. Datos Entrada-BE'!C61</f>
        <v>Cerdos de vivero 
Nursery swine</v>
      </c>
      <c r="C175" s="1249"/>
      <c r="D175" s="285"/>
      <c r="E175" s="285"/>
      <c r="F175" s="286"/>
      <c r="G175" s="287"/>
      <c r="H175" s="285"/>
      <c r="I175" s="285"/>
      <c r="J175" s="285"/>
      <c r="K175" s="285"/>
    </row>
    <row r="176" spans="2:11" ht="15" x14ac:dyDescent="0.4">
      <c r="B176" s="262" t="s">
        <v>238</v>
      </c>
      <c r="C176" s="263">
        <f>'VI. BE CH4-nAS'!E27</f>
        <v>0.16600000000000001</v>
      </c>
      <c r="D176" s="264"/>
      <c r="E176" s="264"/>
      <c r="F176" s="283"/>
      <c r="G176" s="284"/>
      <c r="H176" s="264"/>
      <c r="I176" s="264"/>
      <c r="J176" s="264"/>
      <c r="K176" s="264"/>
    </row>
    <row r="177" spans="2:11" ht="16.5" thickBot="1" x14ac:dyDescent="0.45">
      <c r="B177" s="598" t="s">
        <v>239</v>
      </c>
      <c r="C177" s="599">
        <f>'III. Datos Entrada-BE'!C128</f>
        <v>0.28999999999999998</v>
      </c>
      <c r="D177" s="264"/>
      <c r="E177" s="264"/>
      <c r="F177" s="283"/>
      <c r="G177" s="284"/>
      <c r="H177" s="264"/>
      <c r="I177" s="264"/>
      <c r="J177" s="264"/>
      <c r="K177" s="264"/>
    </row>
    <row r="178" spans="2:11" ht="13.5" thickBot="1" x14ac:dyDescent="0.35">
      <c r="B178" s="267"/>
      <c r="C178" s="289"/>
      <c r="D178" s="264"/>
      <c r="E178" s="264"/>
      <c r="F178" s="283"/>
      <c r="G178" s="284"/>
      <c r="H178" s="264"/>
      <c r="I178" s="264"/>
      <c r="J178" s="264"/>
      <c r="K178" s="264"/>
    </row>
    <row r="179" spans="2:11" s="22" customFormat="1" ht="28.5" thickBot="1" x14ac:dyDescent="0.45">
      <c r="B179" s="269" t="s">
        <v>240</v>
      </c>
      <c r="C179" s="71" t="s">
        <v>241</v>
      </c>
      <c r="D179" s="71" t="s">
        <v>242</v>
      </c>
      <c r="E179" s="270" t="s">
        <v>243</v>
      </c>
      <c r="F179" s="271" t="s">
        <v>244</v>
      </c>
      <c r="G179" s="12"/>
    </row>
    <row r="180" spans="2:11" ht="12.5" x14ac:dyDescent="0.25">
      <c r="B180" s="272">
        <f>'IV. Datos Entrada-PE'!B174</f>
        <v>0</v>
      </c>
      <c r="C180" s="383">
        <f>'IV. Datos Entrada-PE'!D174</f>
        <v>0</v>
      </c>
      <c r="D180" s="224">
        <f>'IV. Datos Entrada-PE'!K193</f>
        <v>0</v>
      </c>
      <c r="E180" s="273">
        <f>C180*D180</f>
        <v>0</v>
      </c>
      <c r="F180" s="1250"/>
      <c r="G180" s="3"/>
    </row>
    <row r="181" spans="2:11" ht="12.5" x14ac:dyDescent="0.25">
      <c r="B181" s="600">
        <f>'IV. Datos Entrada-PE'!B175</f>
        <v>0</v>
      </c>
      <c r="C181" s="685">
        <f>'IV. Datos Entrada-PE'!D175</f>
        <v>0</v>
      </c>
      <c r="D181" s="682">
        <f>'IV. Datos Entrada-PE'!K194</f>
        <v>0</v>
      </c>
      <c r="E181" s="274">
        <f t="shared" ref="E181:E191" si="8">C181*D181</f>
        <v>0</v>
      </c>
      <c r="F181" s="1251"/>
      <c r="G181" s="3"/>
    </row>
    <row r="182" spans="2:11" ht="12.5" x14ac:dyDescent="0.25">
      <c r="B182" s="600">
        <f>'IV. Datos Entrada-PE'!B177</f>
        <v>0</v>
      </c>
      <c r="C182" s="685">
        <f>'IV. Datos Entrada-PE'!D177</f>
        <v>0</v>
      </c>
      <c r="D182" s="682">
        <f>'IV. Datos Entrada-PE'!K197</f>
        <v>0</v>
      </c>
      <c r="E182" s="274">
        <f t="shared" si="8"/>
        <v>0</v>
      </c>
      <c r="F182" s="1251"/>
      <c r="G182" s="3"/>
    </row>
    <row r="183" spans="2:11" ht="12.5" x14ac:dyDescent="0.25">
      <c r="B183" s="600">
        <f>'IV. Datos Entrada-PE'!B178</f>
        <v>0</v>
      </c>
      <c r="C183" s="685">
        <f>'IV. Datos Entrada-PE'!D178</f>
        <v>0</v>
      </c>
      <c r="D183" s="682">
        <f>'IV. Datos Entrada-PE'!K198</f>
        <v>0</v>
      </c>
      <c r="E183" s="274">
        <f t="shared" si="8"/>
        <v>0</v>
      </c>
      <c r="F183" s="1251"/>
      <c r="G183" s="3"/>
    </row>
    <row r="184" spans="2:11" ht="12.5" x14ac:dyDescent="0.25">
      <c r="B184" s="600">
        <f>'IV. Datos Entrada-PE'!B179</f>
        <v>0</v>
      </c>
      <c r="C184" s="685">
        <f>'IV. Datos Entrada-PE'!D179</f>
        <v>0</v>
      </c>
      <c r="D184" s="682">
        <f>'IV. Datos Entrada-PE'!K199</f>
        <v>0</v>
      </c>
      <c r="E184" s="274">
        <f t="shared" si="8"/>
        <v>0</v>
      </c>
      <c r="F184" s="1251"/>
      <c r="G184" s="3"/>
    </row>
    <row r="185" spans="2:11" ht="12.5" x14ac:dyDescent="0.25">
      <c r="B185" s="600">
        <f>'IV. Datos Entrada-PE'!B180</f>
        <v>0</v>
      </c>
      <c r="C185" s="685">
        <f>'IV. Datos Entrada-PE'!D180</f>
        <v>0</v>
      </c>
      <c r="D185" s="682">
        <f>'IV. Datos Entrada-PE'!K200</f>
        <v>0</v>
      </c>
      <c r="E185" s="274">
        <f t="shared" si="8"/>
        <v>0</v>
      </c>
      <c r="F185" s="1251"/>
      <c r="G185" s="3"/>
    </row>
    <row r="186" spans="2:11" ht="12.5" x14ac:dyDescent="0.25">
      <c r="B186" s="600">
        <f>'IV. Datos Entrada-PE'!B181</f>
        <v>0</v>
      </c>
      <c r="C186" s="685">
        <f>'IV. Datos Entrada-PE'!D181</f>
        <v>0</v>
      </c>
      <c r="D186" s="682">
        <f>'IV. Datos Entrada-PE'!K201</f>
        <v>0</v>
      </c>
      <c r="E186" s="274">
        <f t="shared" si="8"/>
        <v>0</v>
      </c>
      <c r="F186" s="1251"/>
      <c r="G186" s="3"/>
    </row>
    <row r="187" spans="2:11" ht="12.5" x14ac:dyDescent="0.25">
      <c r="B187" s="600">
        <f>'IV. Datos Entrada-PE'!B182</f>
        <v>0</v>
      </c>
      <c r="C187" s="685">
        <f>'IV. Datos Entrada-PE'!D182</f>
        <v>0</v>
      </c>
      <c r="D187" s="682">
        <f>'IV. Datos Entrada-PE'!K202</f>
        <v>0</v>
      </c>
      <c r="E187" s="274">
        <f t="shared" si="8"/>
        <v>0</v>
      </c>
      <c r="F187" s="1251"/>
      <c r="G187" s="3"/>
    </row>
    <row r="188" spans="2:11" ht="12.5" x14ac:dyDescent="0.25">
      <c r="B188" s="600">
        <f>'IV. Datos Entrada-PE'!B183</f>
        <v>0</v>
      </c>
      <c r="C188" s="685">
        <f>'IV. Datos Entrada-PE'!D183</f>
        <v>0</v>
      </c>
      <c r="D188" s="682">
        <f>'IV. Datos Entrada-PE'!K203</f>
        <v>0</v>
      </c>
      <c r="E188" s="274">
        <f t="shared" si="8"/>
        <v>0</v>
      </c>
      <c r="F188" s="1251"/>
      <c r="G188" s="3"/>
    </row>
    <row r="189" spans="2:11" ht="12.5" x14ac:dyDescent="0.25">
      <c r="B189" s="600">
        <f>'IV. Datos Entrada-PE'!B184</f>
        <v>0</v>
      </c>
      <c r="C189" s="685">
        <f>'IV. Datos Entrada-PE'!D184</f>
        <v>0</v>
      </c>
      <c r="D189" s="682">
        <f>'IV. Datos Entrada-PE'!K204</f>
        <v>0</v>
      </c>
      <c r="E189" s="274">
        <f t="shared" si="8"/>
        <v>0</v>
      </c>
      <c r="F189" s="1251"/>
      <c r="G189" s="3"/>
    </row>
    <row r="190" spans="2:11" ht="12.5" x14ac:dyDescent="0.25">
      <c r="B190" s="600">
        <f>'IV. Datos Entrada-PE'!B185</f>
        <v>0</v>
      </c>
      <c r="C190" s="685">
        <f>'IV. Datos Entrada-PE'!D185</f>
        <v>0</v>
      </c>
      <c r="D190" s="682">
        <f>'IV. Datos Entrada-PE'!K205</f>
        <v>0</v>
      </c>
      <c r="E190" s="274">
        <f t="shared" si="8"/>
        <v>0</v>
      </c>
      <c r="F190" s="1251"/>
      <c r="G190" s="3"/>
    </row>
    <row r="191" spans="2:11" thickBot="1" x14ac:dyDescent="0.3">
      <c r="B191" s="601">
        <f>'IV. Datos Entrada-PE'!B186</f>
        <v>0</v>
      </c>
      <c r="C191" s="602">
        <f>'IV. Datos Entrada-PE'!D186</f>
        <v>0</v>
      </c>
      <c r="D191" s="582">
        <f>'IV. Datos Entrada-PE'!K206</f>
        <v>0</v>
      </c>
      <c r="E191" s="275">
        <f t="shared" si="8"/>
        <v>0</v>
      </c>
      <c r="F191" s="1252"/>
      <c r="G191" s="3"/>
    </row>
    <row r="192" spans="2:11" ht="13.5" thickBot="1" x14ac:dyDescent="0.35">
      <c r="B192" s="276" t="s">
        <v>185</v>
      </c>
      <c r="C192" s="277">
        <f>SUM(C180:C191)</f>
        <v>0</v>
      </c>
      <c r="D192" s="278">
        <f>SUM(D180:D191)</f>
        <v>0</v>
      </c>
      <c r="E192" s="275">
        <f>SUM(E180:E191)</f>
        <v>0</v>
      </c>
      <c r="F192" s="279">
        <f>E192*(C176*C177*0.717*'III. Datos Entrada-BE'!$G$44)</f>
        <v>0</v>
      </c>
      <c r="G192" s="3"/>
    </row>
    <row r="193" spans="2:11" x14ac:dyDescent="0.3">
      <c r="B193" s="13"/>
      <c r="E193" s="2"/>
      <c r="F193" s="280"/>
      <c r="G193" s="3"/>
    </row>
    <row r="194" spans="2:11" ht="13.5" thickBot="1" x14ac:dyDescent="0.35">
      <c r="B194" s="13"/>
      <c r="E194" s="2"/>
      <c r="F194" s="280"/>
      <c r="G194" s="3"/>
    </row>
    <row r="195" spans="2:11" ht="13.5" thickBot="1" x14ac:dyDescent="0.35">
      <c r="B195" s="1248" t="str">
        <f>'III. Datos Entrada-BE'!C62</f>
        <v>Cerdos en crecimiento 
Growing swine</v>
      </c>
      <c r="C195" s="1249"/>
      <c r="D195" s="285"/>
      <c r="E195" s="285"/>
      <c r="F195" s="286"/>
      <c r="G195" s="287"/>
      <c r="H195" s="285"/>
      <c r="I195" s="285"/>
      <c r="J195" s="285"/>
      <c r="K195" s="285"/>
    </row>
    <row r="196" spans="2:11" ht="15" x14ac:dyDescent="0.4">
      <c r="B196" s="262" t="s">
        <v>238</v>
      </c>
      <c r="C196" s="263">
        <f>'VI. BE CH4-nAS'!E28</f>
        <v>0.40500000000000003</v>
      </c>
      <c r="D196" s="264"/>
      <c r="E196" s="264"/>
      <c r="F196" s="283"/>
      <c r="G196" s="284"/>
      <c r="H196" s="264"/>
      <c r="I196" s="264"/>
      <c r="J196" s="264"/>
      <c r="K196" s="264"/>
    </row>
    <row r="197" spans="2:11" ht="16.5" thickBot="1" x14ac:dyDescent="0.45">
      <c r="B197" s="598" t="s">
        <v>239</v>
      </c>
      <c r="C197" s="599">
        <f>'III. Datos Entrada-BE'!C129</f>
        <v>0.28999999999999998</v>
      </c>
      <c r="D197" s="264"/>
      <c r="E197" s="264"/>
      <c r="F197" s="283"/>
      <c r="G197" s="284"/>
      <c r="H197" s="264"/>
      <c r="I197" s="264"/>
      <c r="J197" s="264"/>
      <c r="K197" s="264"/>
    </row>
    <row r="198" spans="2:11" ht="13.5" thickBot="1" x14ac:dyDescent="0.35">
      <c r="B198" s="267"/>
      <c r="C198" s="289"/>
      <c r="D198" s="264"/>
      <c r="E198" s="264"/>
      <c r="F198" s="283"/>
      <c r="G198" s="284"/>
      <c r="H198" s="264"/>
      <c r="I198" s="264"/>
      <c r="J198" s="264"/>
      <c r="K198" s="264"/>
    </row>
    <row r="199" spans="2:11" s="22" customFormat="1" ht="28.5" thickBot="1" x14ac:dyDescent="0.45">
      <c r="B199" s="269" t="s">
        <v>240</v>
      </c>
      <c r="C199" s="71" t="s">
        <v>241</v>
      </c>
      <c r="D199" s="71" t="s">
        <v>242</v>
      </c>
      <c r="E199" s="270" t="s">
        <v>243</v>
      </c>
      <c r="F199" s="271" t="s">
        <v>244</v>
      </c>
      <c r="G199" s="12"/>
    </row>
    <row r="200" spans="2:11" ht="12.5" x14ac:dyDescent="0.25">
      <c r="B200" s="272">
        <f>'IV. Datos Entrada-PE'!B174</f>
        <v>0</v>
      </c>
      <c r="C200" s="383">
        <f>'IV. Datos Entrada-PE'!D174</f>
        <v>0</v>
      </c>
      <c r="D200" s="224">
        <f>'IV. Datos Entrada-PE'!L193</f>
        <v>0</v>
      </c>
      <c r="E200" s="273">
        <f>C200*D200</f>
        <v>0</v>
      </c>
      <c r="F200" s="1250"/>
      <c r="G200" s="3"/>
    </row>
    <row r="201" spans="2:11" ht="12.5" x14ac:dyDescent="0.25">
      <c r="B201" s="600">
        <f>'IV. Datos Entrada-PE'!B175</f>
        <v>0</v>
      </c>
      <c r="C201" s="685">
        <f>'IV. Datos Entrada-PE'!D175</f>
        <v>0</v>
      </c>
      <c r="D201" s="682">
        <f>'IV. Datos Entrada-PE'!L194</f>
        <v>0</v>
      </c>
      <c r="E201" s="274">
        <f t="shared" ref="E201:E211" si="9">C201*D201</f>
        <v>0</v>
      </c>
      <c r="F201" s="1251"/>
      <c r="G201" s="3"/>
    </row>
    <row r="202" spans="2:11" ht="12.5" x14ac:dyDescent="0.25">
      <c r="B202" s="600">
        <f>'IV. Datos Entrada-PE'!B177</f>
        <v>0</v>
      </c>
      <c r="C202" s="685">
        <f>'IV. Datos Entrada-PE'!D177</f>
        <v>0</v>
      </c>
      <c r="D202" s="682">
        <f>'IV. Datos Entrada-PE'!L197</f>
        <v>0</v>
      </c>
      <c r="E202" s="274">
        <f t="shared" si="9"/>
        <v>0</v>
      </c>
      <c r="F202" s="1251"/>
      <c r="G202" s="3"/>
    </row>
    <row r="203" spans="2:11" ht="12.5" x14ac:dyDescent="0.25">
      <c r="B203" s="600">
        <f>'IV. Datos Entrada-PE'!B178</f>
        <v>0</v>
      </c>
      <c r="C203" s="685">
        <f>'IV. Datos Entrada-PE'!D178</f>
        <v>0</v>
      </c>
      <c r="D203" s="682">
        <f>'IV. Datos Entrada-PE'!L198</f>
        <v>0</v>
      </c>
      <c r="E203" s="274">
        <f t="shared" si="9"/>
        <v>0</v>
      </c>
      <c r="F203" s="1251"/>
      <c r="G203" s="3"/>
    </row>
    <row r="204" spans="2:11" ht="12.5" x14ac:dyDescent="0.25">
      <c r="B204" s="600">
        <f>'IV. Datos Entrada-PE'!B179</f>
        <v>0</v>
      </c>
      <c r="C204" s="685">
        <f>'IV. Datos Entrada-PE'!D179</f>
        <v>0</v>
      </c>
      <c r="D204" s="682">
        <f>'IV. Datos Entrada-PE'!L199</f>
        <v>0</v>
      </c>
      <c r="E204" s="274">
        <f t="shared" si="9"/>
        <v>0</v>
      </c>
      <c r="F204" s="1251"/>
      <c r="G204" s="3"/>
    </row>
    <row r="205" spans="2:11" ht="12.5" x14ac:dyDescent="0.25">
      <c r="B205" s="600">
        <f>'IV. Datos Entrada-PE'!B180</f>
        <v>0</v>
      </c>
      <c r="C205" s="685">
        <f>'IV. Datos Entrada-PE'!D180</f>
        <v>0</v>
      </c>
      <c r="D205" s="682">
        <f>'IV. Datos Entrada-PE'!L200</f>
        <v>0</v>
      </c>
      <c r="E205" s="274">
        <f t="shared" si="9"/>
        <v>0</v>
      </c>
      <c r="F205" s="1251"/>
      <c r="G205" s="3"/>
    </row>
    <row r="206" spans="2:11" ht="12.5" x14ac:dyDescent="0.25">
      <c r="B206" s="600">
        <f>'IV. Datos Entrada-PE'!B181</f>
        <v>0</v>
      </c>
      <c r="C206" s="685">
        <f>'IV. Datos Entrada-PE'!D181</f>
        <v>0</v>
      </c>
      <c r="D206" s="682">
        <f>'IV. Datos Entrada-PE'!L201</f>
        <v>0</v>
      </c>
      <c r="E206" s="274">
        <f t="shared" si="9"/>
        <v>0</v>
      </c>
      <c r="F206" s="1251"/>
      <c r="G206" s="3"/>
    </row>
    <row r="207" spans="2:11" ht="12.5" x14ac:dyDescent="0.25">
      <c r="B207" s="600">
        <f>'IV. Datos Entrada-PE'!B182</f>
        <v>0</v>
      </c>
      <c r="C207" s="685">
        <f>'IV. Datos Entrada-PE'!D182</f>
        <v>0</v>
      </c>
      <c r="D207" s="682">
        <f>'IV. Datos Entrada-PE'!L202</f>
        <v>0</v>
      </c>
      <c r="E207" s="274">
        <f t="shared" si="9"/>
        <v>0</v>
      </c>
      <c r="F207" s="1251"/>
      <c r="G207" s="3"/>
    </row>
    <row r="208" spans="2:11" ht="12.5" x14ac:dyDescent="0.25">
      <c r="B208" s="600">
        <f>'IV. Datos Entrada-PE'!B183</f>
        <v>0</v>
      </c>
      <c r="C208" s="685">
        <f>'IV. Datos Entrada-PE'!D183</f>
        <v>0</v>
      </c>
      <c r="D208" s="682">
        <f>'IV. Datos Entrada-PE'!L203</f>
        <v>0</v>
      </c>
      <c r="E208" s="274">
        <f t="shared" si="9"/>
        <v>0</v>
      </c>
      <c r="F208" s="1251"/>
      <c r="G208" s="3"/>
    </row>
    <row r="209" spans="2:7" ht="12.5" x14ac:dyDescent="0.25">
      <c r="B209" s="600">
        <f>'IV. Datos Entrada-PE'!B184</f>
        <v>0</v>
      </c>
      <c r="C209" s="685">
        <f>'IV. Datos Entrada-PE'!D184</f>
        <v>0</v>
      </c>
      <c r="D209" s="682">
        <f>'IV. Datos Entrada-PE'!L204</f>
        <v>0</v>
      </c>
      <c r="E209" s="274">
        <f t="shared" si="9"/>
        <v>0</v>
      </c>
      <c r="F209" s="1251"/>
      <c r="G209" s="3"/>
    </row>
    <row r="210" spans="2:7" ht="12.5" x14ac:dyDescent="0.25">
      <c r="B210" s="600">
        <f>'IV. Datos Entrada-PE'!B185</f>
        <v>0</v>
      </c>
      <c r="C210" s="685">
        <f>'IV. Datos Entrada-PE'!D185</f>
        <v>0</v>
      </c>
      <c r="D210" s="682">
        <f>'IV. Datos Entrada-PE'!L205</f>
        <v>0</v>
      </c>
      <c r="E210" s="274">
        <f t="shared" si="9"/>
        <v>0</v>
      </c>
      <c r="F210" s="1251"/>
      <c r="G210" s="3"/>
    </row>
    <row r="211" spans="2:7" thickBot="1" x14ac:dyDescent="0.3">
      <c r="B211" s="601">
        <f>'IV. Datos Entrada-PE'!B186</f>
        <v>0</v>
      </c>
      <c r="C211" s="602">
        <f>'IV. Datos Entrada-PE'!D186</f>
        <v>0</v>
      </c>
      <c r="D211" s="582">
        <f>'IV. Datos Entrada-PE'!L206</f>
        <v>0</v>
      </c>
      <c r="E211" s="275">
        <f t="shared" si="9"/>
        <v>0</v>
      </c>
      <c r="F211" s="1252"/>
      <c r="G211" s="3"/>
    </row>
    <row r="212" spans="2:7" s="9" customFormat="1" ht="13.5" thickBot="1" x14ac:dyDescent="0.35">
      <c r="B212" s="276" t="s">
        <v>185</v>
      </c>
      <c r="C212" s="277">
        <f>SUM(C200:C211)</f>
        <v>0</v>
      </c>
      <c r="D212" s="278">
        <f>SUM(D200:D211)</f>
        <v>0</v>
      </c>
      <c r="E212" s="275">
        <f>SUM(E200:E211)</f>
        <v>0</v>
      </c>
      <c r="F212" s="279">
        <f>E212*(C196*C197*0.717*'III. Datos Entrada-BE'!$G$44)</f>
        <v>0</v>
      </c>
      <c r="G212" s="8"/>
    </row>
    <row r="213" spans="2:7" x14ac:dyDescent="0.3">
      <c r="B213" s="13"/>
      <c r="E213" s="2"/>
      <c r="F213" s="280"/>
      <c r="G213" s="3"/>
    </row>
    <row r="214" spans="2:7" x14ac:dyDescent="0.3">
      <c r="B214" s="13"/>
      <c r="E214" s="2"/>
      <c r="F214" s="280"/>
      <c r="G214" s="3"/>
    </row>
    <row r="216" spans="2:7" ht="15.5" x14ac:dyDescent="0.35">
      <c r="B216" s="17" t="s">
        <v>247</v>
      </c>
    </row>
    <row r="217" spans="2:7" ht="13.5" thickBot="1" x14ac:dyDescent="0.35"/>
    <row r="218" spans="2:7" s="22" customFormat="1" ht="30.5" thickBot="1" x14ac:dyDescent="0.45">
      <c r="B218" s="58" t="s">
        <v>59</v>
      </c>
      <c r="C218" s="290" t="s">
        <v>248</v>
      </c>
      <c r="D218" s="71" t="s">
        <v>249</v>
      </c>
      <c r="E218" s="71" t="s">
        <v>250</v>
      </c>
      <c r="F218" s="271" t="s">
        <v>251</v>
      </c>
      <c r="G218" s="291" t="s">
        <v>252</v>
      </c>
    </row>
    <row r="219" spans="2:7" ht="13.5" thickBot="1" x14ac:dyDescent="0.35">
      <c r="B219" s="272" t="str">
        <f>'III. Datos Entrada-BE'!B120</f>
        <v>Vacas lecheras y no lecheras (en sistemas intensivos) 
Dairy and non-milking dairy cows (in intensive systems)</v>
      </c>
      <c r="C219" s="224">
        <f>F32</f>
        <v>0</v>
      </c>
      <c r="D219" s="224">
        <f>'III. Datos Entrada-BE'!C91</f>
        <v>0</v>
      </c>
      <c r="E219" s="224">
        <f>C219*D219</f>
        <v>0</v>
      </c>
      <c r="F219" s="292">
        <f>E219*0.001</f>
        <v>0</v>
      </c>
      <c r="G219" s="236">
        <f t="shared" ref="G219:G228" si="10">F219*PCG</f>
        <v>0</v>
      </c>
    </row>
    <row r="220" spans="2:7" ht="13.5" thickBot="1" x14ac:dyDescent="0.35">
      <c r="B220" s="600" t="str">
        <f>'III. Datos Entrada-BE'!B121</f>
        <v>Novillos/Novillos (en sistemas intensivos) 
Heifers/Steers (in intensive systems)</v>
      </c>
      <c r="C220" s="682">
        <f>F52</f>
        <v>0</v>
      </c>
      <c r="D220" s="682">
        <f>'III. Datos Entrada-BE'!D91</f>
        <v>0</v>
      </c>
      <c r="E220" s="682">
        <f t="shared" ref="E220:E228" si="11">C220*D220</f>
        <v>0</v>
      </c>
      <c r="F220" s="687">
        <f t="shared" ref="F220:F228" si="12">E220*0.001</f>
        <v>0</v>
      </c>
      <c r="G220" s="236">
        <f t="shared" si="10"/>
        <v>0</v>
      </c>
    </row>
    <row r="221" spans="2:7" ht="13.5" thickBot="1" x14ac:dyDescent="0.35">
      <c r="B221" s="600" t="str">
        <f>'III. Datos Entrada-BE'!B122</f>
        <v>Novillas de reemplazo/crecimiento (en pastos o pastizales) 
Replacement/growing heifers (in pasture or rangeland)</v>
      </c>
      <c r="C221" s="682">
        <f>F72</f>
        <v>0</v>
      </c>
      <c r="D221" s="682">
        <f>'III. Datos Entrada-BE'!E91</f>
        <v>0</v>
      </c>
      <c r="E221" s="682">
        <f t="shared" si="11"/>
        <v>0</v>
      </c>
      <c r="F221" s="687">
        <f t="shared" si="12"/>
        <v>0</v>
      </c>
      <c r="G221" s="236">
        <f t="shared" si="10"/>
        <v>0</v>
      </c>
    </row>
    <row r="222" spans="2:7" ht="13.5" thickBot="1" x14ac:dyDescent="0.35">
      <c r="B222" s="600" t="str">
        <f>'III. Datos Entrada-BE'!B123</f>
        <v>Toros (pastoreo) 
Bulls (grazing)</v>
      </c>
      <c r="C222" s="682">
        <f>F92</f>
        <v>0</v>
      </c>
      <c r="D222" s="682">
        <f>'III. Datos Entrada-BE'!F91</f>
        <v>0</v>
      </c>
      <c r="E222" s="682">
        <f t="shared" si="11"/>
        <v>0</v>
      </c>
      <c r="F222" s="687">
        <f t="shared" si="12"/>
        <v>0</v>
      </c>
      <c r="G222" s="236">
        <f t="shared" si="10"/>
        <v>0</v>
      </c>
    </row>
    <row r="223" spans="2:7" ht="13.5" thickBot="1" x14ac:dyDescent="0.35">
      <c r="B223" s="600" t="str">
        <f>'III. Datos Entrada-BE'!B124</f>
        <v>Terneros (en forraje, en pastos/pastizales) 
Calves (on forage, in pasture/rangeland)</v>
      </c>
      <c r="C223" s="682">
        <f>F112</f>
        <v>0</v>
      </c>
      <c r="D223" s="682">
        <f>'III. Datos Entrada-BE'!G91</f>
        <v>0</v>
      </c>
      <c r="E223" s="682">
        <f t="shared" si="11"/>
        <v>0</v>
      </c>
      <c r="F223" s="687">
        <f t="shared" si="12"/>
        <v>0</v>
      </c>
      <c r="G223" s="236">
        <f t="shared" si="10"/>
        <v>0</v>
      </c>
    </row>
    <row r="224" spans="2:7" ht="13.5" thickBot="1" x14ac:dyDescent="0.35">
      <c r="B224" s="600" t="str">
        <f>'III. Datos Entrada-BE'!B125</f>
        <v>Terneros (en lechero, en pastos/pastizales) 
Calves (on milk, in pasture/rangeland)</v>
      </c>
      <c r="C224" s="682">
        <f>F132</f>
        <v>0</v>
      </c>
      <c r="D224" s="682">
        <f>'III. Datos Entrada-BE'!H91</f>
        <v>0</v>
      </c>
      <c r="E224" s="682">
        <f t="shared" si="11"/>
        <v>0</v>
      </c>
      <c r="F224" s="687">
        <f t="shared" si="12"/>
        <v>0</v>
      </c>
      <c r="G224" s="236">
        <f t="shared" si="10"/>
        <v>0</v>
      </c>
    </row>
    <row r="225" spans="2:7" ht="13.5" thickBot="1" x14ac:dyDescent="0.35">
      <c r="B225" s="600" t="str">
        <f>'III. Datos Entrada-BE'!B126</f>
        <v>Novillas y novillos (en pastos/pastizales)
Heifers and Steers (in pasture/rangeland)</v>
      </c>
      <c r="C225" s="682">
        <f>F152</f>
        <v>0</v>
      </c>
      <c r="D225" s="682">
        <f>'III. Datos Entrada-BE'!I91</f>
        <v>0</v>
      </c>
      <c r="E225" s="682">
        <f t="shared" si="11"/>
        <v>0</v>
      </c>
      <c r="F225" s="687">
        <f t="shared" si="12"/>
        <v>0</v>
      </c>
      <c r="G225" s="236">
        <f t="shared" si="10"/>
        <v>0</v>
      </c>
    </row>
    <row r="226" spans="2:7" ht="13.5" thickBot="1" x14ac:dyDescent="0.35">
      <c r="B226" s="600" t="str">
        <f>'III. Datos Entrada-BE'!B127</f>
        <v>Vacas (en pastos/pastizales) 
Cows (in pasture/rangeland)</v>
      </c>
      <c r="C226" s="682">
        <f>F172</f>
        <v>0</v>
      </c>
      <c r="D226" s="682">
        <f>'III. Datos Entrada-BE'!J91</f>
        <v>0</v>
      </c>
      <c r="E226" s="682">
        <f t="shared" si="11"/>
        <v>0</v>
      </c>
      <c r="F226" s="687">
        <f t="shared" si="12"/>
        <v>0</v>
      </c>
      <c r="G226" s="236">
        <f t="shared" si="10"/>
        <v>0</v>
      </c>
    </row>
    <row r="227" spans="2:7" ht="13.5" thickBot="1" x14ac:dyDescent="0.35">
      <c r="B227" s="600" t="str">
        <f>'III. Datos Entrada-BE'!B128</f>
        <v>Cerdos de vivero 
Nursery swine</v>
      </c>
      <c r="C227" s="682">
        <f>F192</f>
        <v>0</v>
      </c>
      <c r="D227" s="682">
        <f>'III. Datos Entrada-BE'!K91</f>
        <v>0</v>
      </c>
      <c r="E227" s="682">
        <f t="shared" si="11"/>
        <v>0</v>
      </c>
      <c r="F227" s="687">
        <f t="shared" si="12"/>
        <v>0</v>
      </c>
      <c r="G227" s="236">
        <f t="shared" si="10"/>
        <v>0</v>
      </c>
    </row>
    <row r="228" spans="2:7" ht="13.5" thickBot="1" x14ac:dyDescent="0.35">
      <c r="B228" s="601" t="str">
        <f>'III. Datos Entrada-BE'!B129</f>
        <v>Cerdos en crecimiento 
Growing swine</v>
      </c>
      <c r="C228" s="582">
        <f>F212</f>
        <v>0</v>
      </c>
      <c r="D228" s="582">
        <f>'III. Datos Entrada-BE'!L91</f>
        <v>0</v>
      </c>
      <c r="E228" s="582">
        <f t="shared" si="11"/>
        <v>0</v>
      </c>
      <c r="F228" s="603">
        <f t="shared" si="12"/>
        <v>0</v>
      </c>
      <c r="G228" s="236">
        <f t="shared" si="10"/>
        <v>0</v>
      </c>
    </row>
    <row r="229" spans="2:7" ht="13.5" thickBot="1" x14ac:dyDescent="0.35">
      <c r="B229" s="382" t="s">
        <v>185</v>
      </c>
      <c r="C229" s="40"/>
      <c r="D229" s="384"/>
      <c r="E229" s="385">
        <f>SUM(E219:E228)</f>
        <v>0</v>
      </c>
      <c r="F229" s="386">
        <f>E229*0.001</f>
        <v>0</v>
      </c>
      <c r="G229" s="231">
        <f>F229*21</f>
        <v>0</v>
      </c>
    </row>
    <row r="230" spans="2:7" x14ac:dyDescent="0.25">
      <c r="E230" s="2"/>
      <c r="F230" s="280"/>
      <c r="G230" s="3"/>
    </row>
    <row r="231" spans="2:7" ht="13.5" thickBot="1" x14ac:dyDescent="0.35"/>
    <row r="232" spans="2:7" x14ac:dyDescent="0.3">
      <c r="B232" s="1083" t="s">
        <v>60</v>
      </c>
      <c r="C232" s="1109"/>
      <c r="D232" s="1110"/>
    </row>
    <row r="233" spans="2:7" x14ac:dyDescent="0.3">
      <c r="B233" s="1107"/>
      <c r="C233" s="1111"/>
      <c r="D233" s="1112"/>
    </row>
    <row r="234" spans="2:7" x14ac:dyDescent="0.3">
      <c r="B234" s="1107"/>
      <c r="C234" s="1111"/>
      <c r="D234" s="1112"/>
    </row>
    <row r="235" spans="2:7" x14ac:dyDescent="0.3">
      <c r="B235" s="1107"/>
      <c r="C235" s="1111"/>
      <c r="D235" s="1112"/>
    </row>
    <row r="236" spans="2:7" x14ac:dyDescent="0.3">
      <c r="B236" s="1107"/>
      <c r="C236" s="1111"/>
      <c r="D236" s="1112"/>
    </row>
    <row r="237" spans="2:7" x14ac:dyDescent="0.3">
      <c r="B237" s="1107"/>
      <c r="C237" s="1111"/>
      <c r="D237" s="1112"/>
    </row>
    <row r="238" spans="2:7" x14ac:dyDescent="0.3">
      <c r="B238" s="1107"/>
      <c r="C238" s="1111"/>
      <c r="D238" s="1112"/>
    </row>
    <row r="239" spans="2:7" x14ac:dyDescent="0.3">
      <c r="B239" s="1107"/>
      <c r="C239" s="1111"/>
      <c r="D239" s="1112"/>
    </row>
    <row r="240" spans="2:7" x14ac:dyDescent="0.3">
      <c r="B240" s="1107"/>
      <c r="C240" s="1111"/>
      <c r="D240" s="1112"/>
    </row>
    <row r="241" spans="2:4" x14ac:dyDescent="0.3">
      <c r="B241" s="1107"/>
      <c r="C241" s="1111"/>
      <c r="D241" s="1112"/>
    </row>
    <row r="242" spans="2:4" x14ac:dyDescent="0.3">
      <c r="B242" s="1107"/>
      <c r="C242" s="1111"/>
      <c r="D242" s="1112"/>
    </row>
    <row r="243" spans="2:4" x14ac:dyDescent="0.3">
      <c r="B243" s="1107"/>
      <c r="C243" s="1111"/>
      <c r="D243" s="1112"/>
    </row>
    <row r="244" spans="2:4" x14ac:dyDescent="0.3">
      <c r="B244" s="1107"/>
      <c r="C244" s="1111"/>
      <c r="D244" s="1112"/>
    </row>
    <row r="245" spans="2:4" x14ac:dyDescent="0.3">
      <c r="B245" s="1107"/>
      <c r="C245" s="1111"/>
      <c r="D245" s="1112"/>
    </row>
    <row r="246" spans="2:4" x14ac:dyDescent="0.3">
      <c r="B246" s="1107"/>
      <c r="C246" s="1111"/>
      <c r="D246" s="1112"/>
    </row>
    <row r="247" spans="2:4" x14ac:dyDescent="0.3">
      <c r="B247" s="1107"/>
      <c r="C247" s="1111"/>
      <c r="D247" s="1112"/>
    </row>
    <row r="248" spans="2:4" x14ac:dyDescent="0.3">
      <c r="B248" s="1107"/>
      <c r="C248" s="1111"/>
      <c r="D248" s="1112"/>
    </row>
    <row r="249" spans="2:4" x14ac:dyDescent="0.3">
      <c r="B249" s="1107"/>
      <c r="C249" s="1111"/>
      <c r="D249" s="1112"/>
    </row>
    <row r="250" spans="2:4" x14ac:dyDescent="0.3">
      <c r="B250" s="1107"/>
      <c r="C250" s="1111"/>
      <c r="D250" s="1112"/>
    </row>
    <row r="251" spans="2:4" x14ac:dyDescent="0.3">
      <c r="B251" s="1107"/>
      <c r="C251" s="1111"/>
      <c r="D251" s="1112"/>
    </row>
    <row r="252" spans="2:4" ht="13.5" thickBot="1" x14ac:dyDescent="0.35">
      <c r="B252" s="1113"/>
      <c r="C252" s="1114"/>
      <c r="D252" s="1115"/>
    </row>
  </sheetData>
  <sheetProtection algorithmName="SHA-512" hashValue="l//u+etPG6As5xg+iWOlNxqzxXbg2UzGI1ZorjlcUbr48r01r6SJkGYyboV1JrzUGYB72cLye1a6SOWk8mScyQ==" saltValue="NLRSu9uE/8zxcYeGZ0DIdQ==" spinCount="100000" sheet="1" objects="1" scenarios="1"/>
  <mergeCells count="23">
    <mergeCell ref="F180:F191"/>
    <mergeCell ref="B195:C195"/>
    <mergeCell ref="F200:F211"/>
    <mergeCell ref="B232:D252"/>
    <mergeCell ref="F120:F131"/>
    <mergeCell ref="B135:C135"/>
    <mergeCell ref="F140:F151"/>
    <mergeCell ref="B155:C155"/>
    <mergeCell ref="F160:F171"/>
    <mergeCell ref="B175:C175"/>
    <mergeCell ref="B13:E13"/>
    <mergeCell ref="B115:C115"/>
    <mergeCell ref="B12:E12"/>
    <mergeCell ref="B15:C15"/>
    <mergeCell ref="F20:F31"/>
    <mergeCell ref="B35:C35"/>
    <mergeCell ref="F40:F51"/>
    <mergeCell ref="B55:C55"/>
    <mergeCell ref="F60:F71"/>
    <mergeCell ref="B75:C75"/>
    <mergeCell ref="F80:F91"/>
    <mergeCell ref="B95:C95"/>
    <mergeCell ref="F100:F11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37"/>
  <sheetViews>
    <sheetView showGridLines="0" zoomScale="80" zoomScaleNormal="80" workbookViewId="0">
      <selection activeCell="C14" sqref="C14"/>
    </sheetView>
  </sheetViews>
  <sheetFormatPr defaultColWidth="8.83203125" defaultRowHeight="13" x14ac:dyDescent="0.3"/>
  <cols>
    <col min="1" max="1" width="4.58203125" style="2" customWidth="1"/>
    <col min="2" max="2" width="46.08203125" style="2" customWidth="1"/>
    <col min="3" max="3" width="23.08203125" style="12" bestFit="1" customWidth="1"/>
    <col min="4" max="4" width="34.5" style="2" customWidth="1"/>
    <col min="5" max="5" width="15.5" style="2" customWidth="1"/>
    <col min="6" max="6" width="25.83203125" style="2" bestFit="1" customWidth="1"/>
    <col min="7" max="7" width="24.5" style="2" bestFit="1" customWidth="1"/>
    <col min="8" max="8" width="27.08203125" style="2" bestFit="1" customWidth="1"/>
    <col min="9" max="16384" width="8.83203125" style="2"/>
  </cols>
  <sheetData>
    <row r="1" spans="2:9" x14ac:dyDescent="0.3">
      <c r="B1" s="1"/>
    </row>
    <row r="2" spans="2:9" ht="18" x14ac:dyDescent="0.4">
      <c r="B2" s="6" t="s">
        <v>253</v>
      </c>
    </row>
    <row r="3" spans="2:9" x14ac:dyDescent="0.3">
      <c r="B3" s="9"/>
    </row>
    <row r="4" spans="2:9" x14ac:dyDescent="0.3">
      <c r="B4" s="9" t="s">
        <v>22</v>
      </c>
      <c r="C4" s="11"/>
      <c r="D4" s="18"/>
      <c r="E4" s="22"/>
      <c r="F4" s="10"/>
      <c r="G4" s="10"/>
      <c r="H4" s="10"/>
      <c r="I4" s="10"/>
    </row>
    <row r="5" spans="2:9" x14ac:dyDescent="0.3">
      <c r="B5" s="684" t="s">
        <v>23</v>
      </c>
      <c r="C5" s="578" t="s">
        <v>175</v>
      </c>
      <c r="D5" s="586"/>
      <c r="E5" s="22"/>
      <c r="F5" s="10"/>
      <c r="G5" s="10"/>
      <c r="H5" s="10"/>
      <c r="I5" s="10"/>
    </row>
    <row r="6" spans="2:9" x14ac:dyDescent="0.3">
      <c r="B6" s="665" t="s">
        <v>24</v>
      </c>
      <c r="C6" s="596" t="s">
        <v>25</v>
      </c>
      <c r="D6" s="597"/>
      <c r="E6" s="22"/>
      <c r="F6" s="10"/>
      <c r="G6" s="10"/>
      <c r="H6" s="10"/>
      <c r="I6" s="10"/>
    </row>
    <row r="7" spans="2:9" x14ac:dyDescent="0.3">
      <c r="B7" s="681" t="s">
        <v>49</v>
      </c>
      <c r="C7" s="587" t="s">
        <v>203</v>
      </c>
      <c r="D7" s="588"/>
      <c r="E7" s="22"/>
      <c r="F7" s="10"/>
      <c r="G7" s="10"/>
      <c r="H7" s="10"/>
      <c r="I7" s="10"/>
    </row>
    <row r="8" spans="2:9" ht="13.5" thickBot="1" x14ac:dyDescent="0.35">
      <c r="B8" s="11"/>
      <c r="C8" s="80"/>
      <c r="D8" s="18"/>
      <c r="E8" s="22"/>
      <c r="F8" s="10"/>
      <c r="G8" s="10"/>
      <c r="H8" s="10"/>
      <c r="I8" s="10"/>
    </row>
    <row r="9" spans="2:9" x14ac:dyDescent="0.3">
      <c r="B9" s="13" t="s">
        <v>204</v>
      </c>
      <c r="C9" s="3"/>
      <c r="E9" s="9"/>
      <c r="F9" s="1083" t="s">
        <v>60</v>
      </c>
      <c r="G9" s="1084"/>
      <c r="H9" s="1085"/>
    </row>
    <row r="10" spans="2:9" ht="24" customHeight="1" x14ac:dyDescent="0.25">
      <c r="B10" s="1119" t="s">
        <v>254</v>
      </c>
      <c r="C10" s="1119"/>
      <c r="D10" s="1119"/>
      <c r="E10" s="20"/>
      <c r="F10" s="1086"/>
      <c r="G10" s="1087"/>
      <c r="H10" s="1088"/>
    </row>
    <row r="11" spans="2:9" x14ac:dyDescent="0.3">
      <c r="B11" s="19"/>
      <c r="C11" s="21"/>
      <c r="D11" s="20"/>
      <c r="E11" s="20"/>
      <c r="F11" s="1086"/>
      <c r="G11" s="1087"/>
      <c r="H11" s="1088"/>
    </row>
    <row r="12" spans="2:9" ht="15.5" x14ac:dyDescent="0.35">
      <c r="B12" s="242" t="s">
        <v>255</v>
      </c>
      <c r="F12" s="1086"/>
      <c r="G12" s="1087"/>
      <c r="H12" s="1088"/>
    </row>
    <row r="13" spans="2:9" x14ac:dyDescent="0.3">
      <c r="B13" s="294"/>
      <c r="F13" s="1086"/>
      <c r="G13" s="1087"/>
      <c r="H13" s="1088"/>
    </row>
    <row r="14" spans="2:9" ht="15" x14ac:dyDescent="0.4">
      <c r="B14" s="688" t="s">
        <v>256</v>
      </c>
      <c r="C14" s="689" t="e">
        <f>'VIII. PE CH4(BCS)'!J28</f>
        <v>#DIV/0!</v>
      </c>
      <c r="D14" s="22"/>
      <c r="E14" s="22"/>
      <c r="F14" s="1086"/>
      <c r="G14" s="1087"/>
      <c r="H14" s="1088"/>
    </row>
    <row r="15" spans="2:9" ht="15" x14ac:dyDescent="0.4">
      <c r="B15" s="688" t="s">
        <v>257</v>
      </c>
      <c r="C15" s="689" t="e">
        <f>'VIII. PE CH4(BCS)'!K28</f>
        <v>#DIV/0!</v>
      </c>
      <c r="F15" s="1086"/>
      <c r="G15" s="1087"/>
      <c r="H15" s="1088"/>
    </row>
    <row r="16" spans="2:9" x14ac:dyDescent="0.3">
      <c r="B16" s="192"/>
      <c r="F16" s="1086"/>
      <c r="G16" s="1087"/>
      <c r="H16" s="1088"/>
    </row>
    <row r="17" spans="2:8" ht="15.5" x14ac:dyDescent="0.3">
      <c r="B17" s="295" t="s">
        <v>258</v>
      </c>
      <c r="F17" s="1086"/>
      <c r="G17" s="1087"/>
      <c r="H17" s="1088"/>
    </row>
    <row r="18" spans="2:8" x14ac:dyDescent="0.3">
      <c r="F18" s="1086"/>
      <c r="G18" s="1087"/>
      <c r="H18" s="1088"/>
    </row>
    <row r="19" spans="2:8" ht="15" x14ac:dyDescent="0.3">
      <c r="B19" s="630" t="s">
        <v>259</v>
      </c>
      <c r="C19" s="689">
        <f>'IX. PE CH4(V)'!H32</f>
        <v>0</v>
      </c>
      <c r="F19" s="1086"/>
      <c r="G19" s="1087"/>
      <c r="H19" s="1088"/>
    </row>
    <row r="20" spans="2:8" ht="15" x14ac:dyDescent="0.3">
      <c r="B20" s="630" t="s">
        <v>260</v>
      </c>
      <c r="C20" s="689">
        <f>'IX. PE CH4(V)'!I32</f>
        <v>0</v>
      </c>
      <c r="F20" s="1086"/>
      <c r="G20" s="1087"/>
      <c r="H20" s="1088"/>
    </row>
    <row r="21" spans="2:8" x14ac:dyDescent="0.3">
      <c r="B21" s="192"/>
      <c r="F21" s="1086"/>
      <c r="G21" s="1087"/>
      <c r="H21" s="1088"/>
    </row>
    <row r="22" spans="2:8" ht="30" customHeight="1" x14ac:dyDescent="0.35">
      <c r="B22" s="1255" t="s">
        <v>261</v>
      </c>
      <c r="C22" s="1255"/>
      <c r="D22" s="1255"/>
      <c r="F22" s="1086"/>
      <c r="G22" s="1087"/>
      <c r="H22" s="1088"/>
    </row>
    <row r="23" spans="2:8" x14ac:dyDescent="0.3">
      <c r="B23" s="9"/>
      <c r="F23" s="1086"/>
      <c r="G23" s="1087"/>
      <c r="H23" s="1088"/>
    </row>
    <row r="24" spans="2:8" ht="15" x14ac:dyDescent="0.4">
      <c r="B24" s="688" t="s">
        <v>262</v>
      </c>
      <c r="C24" s="689">
        <f>'X. PE CH4(EP)'!E18</f>
        <v>0</v>
      </c>
      <c r="F24" s="1086"/>
      <c r="G24" s="1087"/>
      <c r="H24" s="1088"/>
    </row>
    <row r="25" spans="2:8" ht="15" x14ac:dyDescent="0.4">
      <c r="B25" s="688" t="s">
        <v>263</v>
      </c>
      <c r="C25" s="689">
        <f>'X. PE CH4(EP)'!F18</f>
        <v>0</v>
      </c>
      <c r="D25" s="18"/>
      <c r="F25" s="1086"/>
      <c r="G25" s="1087"/>
      <c r="H25" s="1088"/>
    </row>
    <row r="26" spans="2:8" x14ac:dyDescent="0.3">
      <c r="B26" s="9"/>
      <c r="D26" s="18"/>
      <c r="F26" s="1086"/>
      <c r="G26" s="1087"/>
      <c r="H26" s="1088"/>
    </row>
    <row r="27" spans="2:8" ht="32.15" customHeight="1" x14ac:dyDescent="0.35">
      <c r="B27" s="1255" t="s">
        <v>264</v>
      </c>
      <c r="C27" s="1255"/>
      <c r="D27" s="1255"/>
      <c r="F27" s="1086"/>
      <c r="G27" s="1087"/>
      <c r="H27" s="1088"/>
    </row>
    <row r="28" spans="2:8" x14ac:dyDescent="0.3">
      <c r="B28" s="13"/>
      <c r="F28" s="1086"/>
      <c r="G28" s="1087"/>
      <c r="H28" s="1088"/>
    </row>
    <row r="29" spans="2:8" ht="15" x14ac:dyDescent="0.4">
      <c r="B29" s="688" t="s">
        <v>265</v>
      </c>
      <c r="C29" s="689">
        <f>'XI. PE CH4(nBCS)'!F229</f>
        <v>0</v>
      </c>
      <c r="D29" s="13"/>
      <c r="F29" s="1086"/>
      <c r="G29" s="1087"/>
      <c r="H29" s="1088"/>
    </row>
    <row r="30" spans="2:8" ht="15" x14ac:dyDescent="0.4">
      <c r="B30" s="688" t="s">
        <v>266</v>
      </c>
      <c r="C30" s="689">
        <f>'XI. PE CH4(nBCS)'!G229</f>
        <v>0</v>
      </c>
      <c r="F30" s="1086"/>
      <c r="G30" s="1087"/>
      <c r="H30" s="1088"/>
    </row>
    <row r="31" spans="2:8" x14ac:dyDescent="0.3">
      <c r="F31" s="1086"/>
      <c r="G31" s="1087"/>
      <c r="H31" s="1088"/>
    </row>
    <row r="32" spans="2:8" x14ac:dyDescent="0.3">
      <c r="F32" s="1086"/>
      <c r="G32" s="1087"/>
      <c r="H32" s="1088"/>
    </row>
    <row r="33" spans="2:8" ht="15.5" x14ac:dyDescent="0.35">
      <c r="B33" s="17" t="s">
        <v>267</v>
      </c>
      <c r="C33" s="3"/>
      <c r="F33" s="1086"/>
      <c r="G33" s="1087"/>
      <c r="H33" s="1088"/>
    </row>
    <row r="34" spans="2:8" ht="13.5" thickBot="1" x14ac:dyDescent="0.35">
      <c r="B34" s="13"/>
      <c r="C34" s="3"/>
      <c r="F34" s="1086"/>
      <c r="G34" s="1087"/>
      <c r="H34" s="1088"/>
    </row>
    <row r="35" spans="2:8" s="9" customFormat="1" ht="15" x14ac:dyDescent="0.4">
      <c r="B35" s="296" t="s">
        <v>268</v>
      </c>
      <c r="C35" s="297" t="e">
        <f>C14+C19+C24+C29</f>
        <v>#DIV/0!</v>
      </c>
      <c r="D35" s="298"/>
      <c r="E35" s="70"/>
      <c r="F35" s="1086"/>
      <c r="G35" s="1087"/>
      <c r="H35" s="1088"/>
    </row>
    <row r="36" spans="2:8" s="9" customFormat="1" ht="15.5" thickBot="1" x14ac:dyDescent="0.45">
      <c r="B36" s="598" t="s">
        <v>269</v>
      </c>
      <c r="C36" s="585" t="e">
        <f>C15+C20+C25+C30</f>
        <v>#DIV/0!</v>
      </c>
      <c r="D36" s="299"/>
      <c r="F36" s="1086"/>
      <c r="G36" s="1087"/>
      <c r="H36" s="1088"/>
    </row>
    <row r="37" spans="2:8" ht="13.5" thickBot="1" x14ac:dyDescent="0.35">
      <c r="F37" s="1089"/>
      <c r="G37" s="1090"/>
      <c r="H37" s="1091"/>
    </row>
  </sheetData>
  <sheetProtection algorithmName="SHA-512" hashValue="+QThf1pBwAMbYCNAh/8JkWdTmvb985Kur6Qy7DK48SYZ4p+uvySZLIcVXvjA0mQ06AGkdA9iGvlausbjMAr/ew==" saltValue="V56dmRftHKpJKdUQX2AELw==" spinCount="100000" sheet="1" objects="1" scenarios="1"/>
  <mergeCells count="4">
    <mergeCell ref="F9:H37"/>
    <mergeCell ref="B10:D10"/>
    <mergeCell ref="B27:D27"/>
    <mergeCell ref="B22:D2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87"/>
  <sheetViews>
    <sheetView showGridLines="0" topLeftCell="A10" zoomScale="80" zoomScaleNormal="80" workbookViewId="0">
      <selection activeCell="D70" sqref="D70"/>
    </sheetView>
  </sheetViews>
  <sheetFormatPr defaultColWidth="8.83203125" defaultRowHeight="12.5" x14ac:dyDescent="0.25"/>
  <cols>
    <col min="1" max="1" width="4.08203125" style="2" customWidth="1"/>
    <col min="2" max="2" width="42.08203125" style="2" customWidth="1"/>
    <col min="3" max="3" width="23.58203125" style="2" customWidth="1"/>
    <col min="4" max="4" width="17.58203125" style="2" customWidth="1"/>
    <col min="5" max="5" width="22.58203125" style="2" bestFit="1" customWidth="1"/>
    <col min="6" max="6" width="12.83203125" style="259" bestFit="1" customWidth="1"/>
    <col min="7" max="7" width="5.5" style="2" customWidth="1"/>
    <col min="8" max="8" width="17.5" style="2" customWidth="1"/>
    <col min="9" max="9" width="16.58203125" style="2" customWidth="1"/>
    <col min="10" max="10" width="25.58203125" style="2" customWidth="1"/>
    <col min="11" max="16384" width="8.83203125" style="2"/>
  </cols>
  <sheetData>
    <row r="1" spans="2:13" ht="13" x14ac:dyDescent="0.3">
      <c r="B1" s="1"/>
    </row>
    <row r="2" spans="2:13" ht="18" x14ac:dyDescent="0.4">
      <c r="B2" s="6" t="s">
        <v>270</v>
      </c>
    </row>
    <row r="3" spans="2:13" ht="13" x14ac:dyDescent="0.3">
      <c r="B3" s="9"/>
    </row>
    <row r="4" spans="2:13" ht="13" x14ac:dyDescent="0.3">
      <c r="B4" s="9" t="s">
        <v>22</v>
      </c>
      <c r="C4" s="11"/>
      <c r="D4" s="18"/>
      <c r="E4" s="10"/>
      <c r="G4" s="10"/>
      <c r="H4" s="10"/>
      <c r="I4" s="10"/>
      <c r="J4" s="10"/>
      <c r="K4" s="10"/>
      <c r="L4" s="10"/>
      <c r="M4" s="10"/>
    </row>
    <row r="5" spans="2:13" ht="13" x14ac:dyDescent="0.3">
      <c r="B5" s="684" t="s">
        <v>23</v>
      </c>
      <c r="C5" s="578" t="s">
        <v>175</v>
      </c>
      <c r="D5" s="586"/>
      <c r="E5" s="10"/>
      <c r="G5" s="10"/>
      <c r="H5" s="10"/>
      <c r="I5" s="10"/>
      <c r="J5" s="10"/>
      <c r="K5" s="10"/>
      <c r="L5" s="10"/>
      <c r="M5" s="10"/>
    </row>
    <row r="6" spans="2:13" ht="13" x14ac:dyDescent="0.3">
      <c r="B6" s="665" t="s">
        <v>24</v>
      </c>
      <c r="C6" s="596" t="s">
        <v>25</v>
      </c>
      <c r="D6" s="597"/>
      <c r="E6" s="10"/>
      <c r="G6" s="10"/>
      <c r="H6" s="10"/>
      <c r="I6" s="10"/>
      <c r="J6" s="10"/>
      <c r="K6" s="10"/>
      <c r="L6" s="10"/>
      <c r="M6" s="10"/>
    </row>
    <row r="7" spans="2:13" ht="13" x14ac:dyDescent="0.3">
      <c r="B7" s="681" t="s">
        <v>49</v>
      </c>
      <c r="C7" s="587" t="s">
        <v>203</v>
      </c>
      <c r="D7" s="588"/>
      <c r="E7" s="10"/>
      <c r="G7" s="10"/>
      <c r="H7" s="10"/>
      <c r="I7" s="10"/>
      <c r="J7" s="10"/>
      <c r="K7" s="10"/>
      <c r="L7" s="10"/>
      <c r="M7" s="10"/>
    </row>
    <row r="8" spans="2:13" x14ac:dyDescent="0.25">
      <c r="B8" s="300"/>
      <c r="C8" s="300"/>
      <c r="D8" s="301"/>
      <c r="E8" s="10"/>
      <c r="G8" s="10"/>
      <c r="H8" s="10"/>
      <c r="I8" s="10"/>
      <c r="J8" s="10"/>
      <c r="K8" s="10"/>
      <c r="L8" s="10"/>
      <c r="M8" s="10"/>
    </row>
    <row r="9" spans="2:13" ht="13" x14ac:dyDescent="0.3">
      <c r="B9" s="13" t="s">
        <v>204</v>
      </c>
      <c r="C9" s="11"/>
      <c r="D9" s="18"/>
      <c r="E9" s="10"/>
      <c r="F9" s="192"/>
      <c r="G9" s="192"/>
      <c r="H9" s="192"/>
      <c r="I9" s="192"/>
      <c r="J9" s="10"/>
      <c r="K9" s="10"/>
      <c r="L9" s="10"/>
      <c r="M9" s="10"/>
    </row>
    <row r="10" spans="2:13" x14ac:dyDescent="0.25">
      <c r="B10" s="302" t="s">
        <v>271</v>
      </c>
      <c r="C10" s="11"/>
      <c r="D10" s="18"/>
      <c r="E10" s="10"/>
      <c r="G10" s="10"/>
      <c r="H10" s="10"/>
      <c r="I10" s="10"/>
      <c r="J10" s="10"/>
      <c r="K10" s="10"/>
      <c r="L10" s="10"/>
      <c r="M10" s="10"/>
    </row>
    <row r="11" spans="2:13" ht="15.5" x14ac:dyDescent="0.35">
      <c r="B11" s="17" t="s">
        <v>272</v>
      </c>
      <c r="C11" s="11"/>
      <c r="D11" s="18"/>
      <c r="E11" s="10"/>
      <c r="G11" s="10"/>
      <c r="H11" s="10"/>
      <c r="I11" s="10"/>
      <c r="J11" s="10"/>
      <c r="K11" s="10"/>
      <c r="L11" s="10"/>
      <c r="M11" s="10"/>
    </row>
    <row r="12" spans="2:13" ht="13" x14ac:dyDescent="0.3">
      <c r="B12" s="134"/>
      <c r="C12" s="11"/>
      <c r="D12" s="18"/>
      <c r="E12" s="10"/>
      <c r="G12" s="10"/>
      <c r="H12" s="10"/>
      <c r="I12" s="10"/>
      <c r="J12" s="10"/>
      <c r="K12" s="10"/>
      <c r="L12" s="10"/>
      <c r="M12" s="10"/>
    </row>
    <row r="13" spans="2:13" ht="13.5" thickBot="1" x14ac:dyDescent="0.35">
      <c r="B13" s="1256" t="s">
        <v>273</v>
      </c>
      <c r="C13" s="1149"/>
      <c r="D13" s="1149"/>
      <c r="E13" s="1149"/>
    </row>
    <row r="14" spans="2:13" ht="15" x14ac:dyDescent="0.25">
      <c r="B14" s="174" t="s">
        <v>84</v>
      </c>
      <c r="C14" s="175" t="s">
        <v>149</v>
      </c>
      <c r="D14" s="175" t="s">
        <v>88</v>
      </c>
      <c r="E14" s="176" t="s">
        <v>89</v>
      </c>
      <c r="F14" s="193" t="s">
        <v>274</v>
      </c>
      <c r="H14" s="1083" t="s">
        <v>60</v>
      </c>
      <c r="I14" s="1109"/>
      <c r="J14" s="1110"/>
    </row>
    <row r="15" spans="2:13" x14ac:dyDescent="0.25">
      <c r="B15" s="604">
        <f>'III. Datos Entrada-BE'!B224</f>
        <v>0</v>
      </c>
      <c r="C15" s="604">
        <f>'III. Datos Entrada-BE'!C224</f>
        <v>0</v>
      </c>
      <c r="D15" s="604">
        <f>'III. Datos Entrada-BE'!D224*'III. Datos Entrada-BE'!E224</f>
        <v>0</v>
      </c>
      <c r="E15" s="604">
        <f>'III. Datos Entrada-BE'!F224</f>
        <v>0</v>
      </c>
      <c r="F15" s="690">
        <f>E15*D15*0.001</f>
        <v>0</v>
      </c>
      <c r="H15" s="1107"/>
      <c r="I15" s="1111"/>
      <c r="J15" s="1112"/>
    </row>
    <row r="16" spans="2:13" x14ac:dyDescent="0.25">
      <c r="B16" s="604">
        <f>'III. Datos Entrada-BE'!B225</f>
        <v>0</v>
      </c>
      <c r="C16" s="604">
        <f>'III. Datos Entrada-BE'!C225</f>
        <v>0</v>
      </c>
      <c r="D16" s="604">
        <f>'III. Datos Entrada-BE'!D225*'III. Datos Entrada-BE'!E225</f>
        <v>0</v>
      </c>
      <c r="E16" s="604">
        <f>'III. Datos Entrada-BE'!F225</f>
        <v>0</v>
      </c>
      <c r="F16" s="690">
        <f t="shared" ref="F16:F23" si="0">E16*D16*0.001</f>
        <v>0</v>
      </c>
      <c r="H16" s="1107"/>
      <c r="I16" s="1111"/>
      <c r="J16" s="1112"/>
    </row>
    <row r="17" spans="2:10" x14ac:dyDescent="0.25">
      <c r="B17" s="604">
        <f>'III. Datos Entrada-BE'!B226</f>
        <v>0</v>
      </c>
      <c r="C17" s="604">
        <f>'III. Datos Entrada-BE'!C226</f>
        <v>0</v>
      </c>
      <c r="D17" s="604">
        <f>'III. Datos Entrada-BE'!D226*'III. Datos Entrada-BE'!E226</f>
        <v>0</v>
      </c>
      <c r="E17" s="604">
        <f>'III. Datos Entrada-BE'!F226</f>
        <v>0</v>
      </c>
      <c r="F17" s="690">
        <f t="shared" si="0"/>
        <v>0</v>
      </c>
      <c r="H17" s="1107"/>
      <c r="I17" s="1111"/>
      <c r="J17" s="1112"/>
    </row>
    <row r="18" spans="2:10" x14ac:dyDescent="0.25">
      <c r="B18" s="604">
        <f>'III. Datos Entrada-BE'!B227</f>
        <v>0</v>
      </c>
      <c r="C18" s="604">
        <f>'III. Datos Entrada-BE'!C227</f>
        <v>0</v>
      </c>
      <c r="D18" s="604">
        <f>'III. Datos Entrada-BE'!D227*'III. Datos Entrada-BE'!E227</f>
        <v>0</v>
      </c>
      <c r="E18" s="604">
        <f>'III. Datos Entrada-BE'!F227</f>
        <v>0</v>
      </c>
      <c r="F18" s="690">
        <f t="shared" si="0"/>
        <v>0</v>
      </c>
      <c r="H18" s="1107"/>
      <c r="I18" s="1111"/>
      <c r="J18" s="1112"/>
    </row>
    <row r="19" spans="2:10" x14ac:dyDescent="0.25">
      <c r="B19" s="604">
        <f>'III. Datos Entrada-BE'!B229</f>
        <v>0</v>
      </c>
      <c r="C19" s="604">
        <f>'III. Datos Entrada-BE'!C229</f>
        <v>0</v>
      </c>
      <c r="D19" s="604">
        <f>'III. Datos Entrada-BE'!D229</f>
        <v>0</v>
      </c>
      <c r="E19" s="604">
        <f>'III. Datos Entrada-BE'!E229</f>
        <v>0</v>
      </c>
      <c r="F19" s="690">
        <f t="shared" si="0"/>
        <v>0</v>
      </c>
      <c r="H19" s="1107"/>
      <c r="I19" s="1111"/>
      <c r="J19" s="1112"/>
    </row>
    <row r="20" spans="2:10" x14ac:dyDescent="0.25">
      <c r="B20" s="604">
        <f>'III. Datos Entrada-BE'!B230</f>
        <v>0</v>
      </c>
      <c r="C20" s="604">
        <f>'III. Datos Entrada-BE'!C230</f>
        <v>0</v>
      </c>
      <c r="D20" s="604">
        <f>'III. Datos Entrada-BE'!D230</f>
        <v>0</v>
      </c>
      <c r="E20" s="604">
        <f>'III. Datos Entrada-BE'!E230</f>
        <v>0</v>
      </c>
      <c r="F20" s="690">
        <f t="shared" si="0"/>
        <v>0</v>
      </c>
      <c r="H20" s="1107"/>
      <c r="I20" s="1111"/>
      <c r="J20" s="1112"/>
    </row>
    <row r="21" spans="2:10" x14ac:dyDescent="0.25">
      <c r="B21" s="604">
        <f>'III. Datos Entrada-BE'!B231</f>
        <v>0</v>
      </c>
      <c r="C21" s="604">
        <f>'III. Datos Entrada-BE'!C231</f>
        <v>0</v>
      </c>
      <c r="D21" s="604">
        <f>'III. Datos Entrada-BE'!D231</f>
        <v>0</v>
      </c>
      <c r="E21" s="604">
        <f>'III. Datos Entrada-BE'!E231</f>
        <v>0</v>
      </c>
      <c r="F21" s="690">
        <f t="shared" si="0"/>
        <v>0</v>
      </c>
      <c r="H21" s="1107"/>
      <c r="I21" s="1111"/>
      <c r="J21" s="1112"/>
    </row>
    <row r="22" spans="2:10" x14ac:dyDescent="0.25">
      <c r="B22" s="604">
        <f>'III. Datos Entrada-BE'!B232</f>
        <v>0</v>
      </c>
      <c r="C22" s="604">
        <f>'III. Datos Entrada-BE'!C232</f>
        <v>0</v>
      </c>
      <c r="D22" s="604">
        <f>'III. Datos Entrada-BE'!D232</f>
        <v>0</v>
      </c>
      <c r="E22" s="604">
        <f>'III. Datos Entrada-BE'!E232</f>
        <v>0</v>
      </c>
      <c r="F22" s="690">
        <f t="shared" si="0"/>
        <v>0</v>
      </c>
      <c r="H22" s="1107"/>
      <c r="I22" s="1111"/>
      <c r="J22" s="1112"/>
    </row>
    <row r="23" spans="2:10" ht="13" thickBot="1" x14ac:dyDescent="0.3">
      <c r="B23" s="604">
        <f>'III. Datos Entrada-BE'!B233</f>
        <v>0</v>
      </c>
      <c r="C23" s="604">
        <f>'III. Datos Entrada-BE'!C233</f>
        <v>0</v>
      </c>
      <c r="D23" s="604">
        <f>'III. Datos Entrada-BE'!D233</f>
        <v>0</v>
      </c>
      <c r="E23" s="604">
        <f>'III. Datos Entrada-BE'!E233</f>
        <v>0</v>
      </c>
      <c r="F23" s="605">
        <f t="shared" si="0"/>
        <v>0</v>
      </c>
      <c r="H23" s="1107"/>
      <c r="I23" s="1111"/>
      <c r="J23" s="1112"/>
    </row>
    <row r="24" spans="2:10" ht="15.5" thickBot="1" x14ac:dyDescent="0.45">
      <c r="B24" s="74" t="s">
        <v>275</v>
      </c>
      <c r="C24" s="43"/>
      <c r="D24" s="43"/>
      <c r="E24" s="303"/>
      <c r="F24" s="304">
        <f>SUM(F15:F23)</f>
        <v>0</v>
      </c>
      <c r="H24" s="1107"/>
      <c r="I24" s="1111"/>
      <c r="J24" s="1112"/>
    </row>
    <row r="25" spans="2:10" x14ac:dyDescent="0.25">
      <c r="H25" s="1107"/>
      <c r="I25" s="1111"/>
      <c r="J25" s="1112"/>
    </row>
    <row r="26" spans="2:10" ht="13.5" thickBot="1" x14ac:dyDescent="0.35">
      <c r="B26" s="1256" t="s">
        <v>276</v>
      </c>
      <c r="C26" s="1149"/>
      <c r="D26" s="1149"/>
      <c r="E26" s="1149"/>
      <c r="H26" s="1107"/>
      <c r="I26" s="1111"/>
      <c r="J26" s="1112"/>
    </row>
    <row r="27" spans="2:10" ht="15.5" thickBot="1" x14ac:dyDescent="0.3">
      <c r="B27" s="482" t="s">
        <v>277</v>
      </c>
      <c r="C27" s="483" t="s">
        <v>149</v>
      </c>
      <c r="D27" s="483" t="s">
        <v>88</v>
      </c>
      <c r="E27" s="373" t="s">
        <v>89</v>
      </c>
      <c r="F27" s="488" t="s">
        <v>274</v>
      </c>
      <c r="H27" s="1107"/>
      <c r="I27" s="1111"/>
      <c r="J27" s="1112"/>
    </row>
    <row r="28" spans="2:10" x14ac:dyDescent="0.25">
      <c r="B28" s="486">
        <f>'III. Datos Entrada-BE'!B241</f>
        <v>0</v>
      </c>
      <c r="C28" s="486">
        <f>'III. Datos Entrada-BE'!C241</f>
        <v>0</v>
      </c>
      <c r="D28" s="487">
        <f>'III. Datos Entrada-BE'!D241*'III. Datos Entrada-BE'!E241</f>
        <v>0</v>
      </c>
      <c r="E28" s="366">
        <f>'III. Datos Entrada-BE'!F241</f>
        <v>0</v>
      </c>
      <c r="F28" s="606">
        <f>E28*D28*0.001</f>
        <v>0</v>
      </c>
      <c r="H28" s="1107"/>
      <c r="I28" s="1111"/>
      <c r="J28" s="1112"/>
    </row>
    <row r="29" spans="2:10" x14ac:dyDescent="0.25">
      <c r="B29" s="604">
        <f>'III. Datos Entrada-BE'!B242</f>
        <v>0</v>
      </c>
      <c r="C29" s="604">
        <f>'III. Datos Entrada-BE'!C242</f>
        <v>0</v>
      </c>
      <c r="D29" s="607">
        <f>'III. Datos Entrada-BE'!D242*'III. Datos Entrada-BE'!E242</f>
        <v>0</v>
      </c>
      <c r="E29" s="608">
        <f>'III. Datos Entrada-BE'!F242</f>
        <v>0</v>
      </c>
      <c r="F29" s="606">
        <f t="shared" ref="F29:F36" si="1">E29*D29*0.001</f>
        <v>0</v>
      </c>
      <c r="H29" s="1107"/>
      <c r="I29" s="1111"/>
      <c r="J29" s="1112"/>
    </row>
    <row r="30" spans="2:10" x14ac:dyDescent="0.25">
      <c r="B30" s="604">
        <f>'III. Datos Entrada-BE'!B243</f>
        <v>0</v>
      </c>
      <c r="C30" s="604">
        <f>'III. Datos Entrada-BE'!C243</f>
        <v>0</v>
      </c>
      <c r="D30" s="607">
        <f>'III. Datos Entrada-BE'!D243*'III. Datos Entrada-BE'!E243</f>
        <v>0</v>
      </c>
      <c r="E30" s="608">
        <f>'III. Datos Entrada-BE'!F243</f>
        <v>0</v>
      </c>
      <c r="F30" s="606">
        <f t="shared" si="1"/>
        <v>0</v>
      </c>
      <c r="H30" s="1107"/>
      <c r="I30" s="1111"/>
      <c r="J30" s="1112"/>
    </row>
    <row r="31" spans="2:10" x14ac:dyDescent="0.25">
      <c r="B31" s="604">
        <f>'III. Datos Entrada-BE'!B245</f>
        <v>0</v>
      </c>
      <c r="C31" s="604">
        <f>'III. Datos Entrada-BE'!C245</f>
        <v>0</v>
      </c>
      <c r="D31" s="607">
        <f>'III. Datos Entrada-BE'!D245*'III. Datos Entrada-BE'!E245</f>
        <v>0</v>
      </c>
      <c r="E31" s="608">
        <f>'III. Datos Entrada-BE'!F245</f>
        <v>0</v>
      </c>
      <c r="F31" s="606">
        <f t="shared" si="1"/>
        <v>0</v>
      </c>
      <c r="H31" s="1107"/>
      <c r="I31" s="1111"/>
      <c r="J31" s="1112"/>
    </row>
    <row r="32" spans="2:10" x14ac:dyDescent="0.25">
      <c r="B32" s="604">
        <f>'III. Datos Entrada-BE'!B247</f>
        <v>0</v>
      </c>
      <c r="C32" s="604">
        <f>'III. Datos Entrada-BE'!C247</f>
        <v>0</v>
      </c>
      <c r="D32" s="604">
        <f>'III. Datos Entrada-BE'!D247</f>
        <v>0</v>
      </c>
      <c r="E32" s="608">
        <f>'III. Datos Entrada-BE'!D247</f>
        <v>0</v>
      </c>
      <c r="F32" s="606">
        <f t="shared" si="1"/>
        <v>0</v>
      </c>
      <c r="H32" s="1107"/>
      <c r="I32" s="1111"/>
      <c r="J32" s="1112"/>
    </row>
    <row r="33" spans="2:13" x14ac:dyDescent="0.25">
      <c r="B33" s="604">
        <f>'III. Datos Entrada-BE'!B248</f>
        <v>0</v>
      </c>
      <c r="C33" s="604">
        <f>'III. Datos Entrada-BE'!C248</f>
        <v>0</v>
      </c>
      <c r="D33" s="604">
        <f>'III. Datos Entrada-BE'!D248</f>
        <v>0</v>
      </c>
      <c r="E33" s="608">
        <f>'III. Datos Entrada-BE'!D248</f>
        <v>0</v>
      </c>
      <c r="F33" s="606">
        <f t="shared" si="1"/>
        <v>0</v>
      </c>
      <c r="H33" s="1107"/>
      <c r="I33" s="1111"/>
      <c r="J33" s="1112"/>
    </row>
    <row r="34" spans="2:13" ht="13" thickBot="1" x14ac:dyDescent="0.3">
      <c r="B34" s="604">
        <f>'III. Datos Entrada-BE'!B249</f>
        <v>0</v>
      </c>
      <c r="C34" s="604">
        <f>'III. Datos Entrada-BE'!C249</f>
        <v>0</v>
      </c>
      <c r="D34" s="604">
        <f>'III. Datos Entrada-BE'!D249</f>
        <v>0</v>
      </c>
      <c r="E34" s="608">
        <f>'III. Datos Entrada-BE'!D249</f>
        <v>0</v>
      </c>
      <c r="F34" s="606">
        <f t="shared" si="1"/>
        <v>0</v>
      </c>
      <c r="H34" s="1113"/>
      <c r="I34" s="1114"/>
      <c r="J34" s="1115"/>
    </row>
    <row r="35" spans="2:13" x14ac:dyDescent="0.25">
      <c r="B35" s="604">
        <f>'III. Datos Entrada-BE'!B250</f>
        <v>0</v>
      </c>
      <c r="C35" s="604">
        <f>'III. Datos Entrada-BE'!C250</f>
        <v>0</v>
      </c>
      <c r="D35" s="604">
        <f>'III. Datos Entrada-BE'!D250</f>
        <v>0</v>
      </c>
      <c r="E35" s="608">
        <f>'III. Datos Entrada-BE'!D250</f>
        <v>0</v>
      </c>
      <c r="F35" s="606">
        <f t="shared" si="1"/>
        <v>0</v>
      </c>
    </row>
    <row r="36" spans="2:13" ht="13" thickBot="1" x14ac:dyDescent="0.3">
      <c r="B36" s="609">
        <f>'III. Datos Entrada-BE'!B251</f>
        <v>0</v>
      </c>
      <c r="C36" s="609">
        <f>'III. Datos Entrada-BE'!C251</f>
        <v>0</v>
      </c>
      <c r="D36" s="694">
        <f>'III. Datos Entrada-BE'!D251</f>
        <v>0</v>
      </c>
      <c r="E36" s="694">
        <f>'III. Datos Entrada-BE'!D251</f>
        <v>0</v>
      </c>
      <c r="F36" s="695">
        <f t="shared" si="1"/>
        <v>0</v>
      </c>
    </row>
    <row r="37" spans="2:13" ht="15.5" thickBot="1" x14ac:dyDescent="0.45">
      <c r="B37" s="74" t="s">
        <v>278</v>
      </c>
      <c r="C37" s="43"/>
      <c r="D37" s="43"/>
      <c r="E37" s="303"/>
      <c r="F37" s="304">
        <f>SUM(F28:F36)</f>
        <v>0</v>
      </c>
    </row>
    <row r="38" spans="2:13" ht="13" x14ac:dyDescent="0.3">
      <c r="B38" s="9"/>
      <c r="F38" s="141"/>
    </row>
    <row r="39" spans="2:13" ht="13.5" thickBot="1" x14ac:dyDescent="0.35">
      <c r="B39" s="1196" t="s">
        <v>279</v>
      </c>
      <c r="C39" s="1196"/>
      <c r="D39" s="1196"/>
      <c r="E39" s="1196"/>
      <c r="F39" s="141"/>
      <c r="G39" s="10"/>
      <c r="H39" s="10"/>
      <c r="I39" s="10"/>
      <c r="J39" s="10"/>
      <c r="K39" s="10"/>
      <c r="L39" s="10"/>
      <c r="M39" s="10"/>
    </row>
    <row r="40" spans="2:13" ht="15" x14ac:dyDescent="0.4">
      <c r="B40" s="143" t="s">
        <v>96</v>
      </c>
      <c r="C40" s="177" t="s">
        <v>280</v>
      </c>
      <c r="D40" s="177" t="s">
        <v>281</v>
      </c>
      <c r="E40" s="305" t="s">
        <v>274</v>
      </c>
      <c r="F40" s="2"/>
      <c r="G40" s="10"/>
      <c r="H40" s="10"/>
      <c r="I40" s="10"/>
      <c r="J40" s="10"/>
      <c r="K40" s="10"/>
      <c r="L40" s="10"/>
      <c r="M40" s="10"/>
    </row>
    <row r="41" spans="2:13" ht="13" thickBot="1" x14ac:dyDescent="0.3">
      <c r="B41" s="609" t="str">
        <f>'III. Datos Entrada-BE'!B260</f>
        <v>Sistema Eléctrico Nacional</v>
      </c>
      <c r="C41" s="610">
        <f>'III. Datos Entrada-BE'!C260</f>
        <v>0</v>
      </c>
      <c r="D41" s="610">
        <f>'III. Datos Entrada-BE'!D260</f>
        <v>0</v>
      </c>
      <c r="E41" s="605">
        <f>D41*C41*0.001</f>
        <v>0</v>
      </c>
      <c r="F41" s="2"/>
      <c r="G41" s="10"/>
      <c r="H41" s="10"/>
      <c r="I41" s="10"/>
      <c r="J41" s="10"/>
      <c r="K41" s="10"/>
      <c r="L41" s="10"/>
      <c r="M41" s="10"/>
    </row>
    <row r="42" spans="2:13" ht="13.5" thickBot="1" x14ac:dyDescent="0.3">
      <c r="B42" s="10"/>
      <c r="C42" s="10"/>
      <c r="D42" s="10"/>
      <c r="E42" s="307">
        <f>E41</f>
        <v>0</v>
      </c>
      <c r="F42" s="2"/>
      <c r="G42" s="10"/>
      <c r="H42" s="10"/>
      <c r="I42" s="10"/>
      <c r="J42" s="10"/>
      <c r="K42" s="10"/>
      <c r="L42" s="10"/>
      <c r="M42" s="10"/>
    </row>
    <row r="43" spans="2:13" ht="13.5" thickBot="1" x14ac:dyDescent="0.35">
      <c r="B43" s="9"/>
    </row>
    <row r="44" spans="2:13" ht="13.5" thickBot="1" x14ac:dyDescent="0.35">
      <c r="B44" s="74" t="s">
        <v>282</v>
      </c>
      <c r="C44" s="43"/>
      <c r="D44" s="43"/>
      <c r="E44" s="303"/>
      <c r="F44" s="306">
        <f>F24+F37+(E42*C85)</f>
        <v>0</v>
      </c>
      <c r="G44" s="9"/>
    </row>
    <row r="46" spans="2:13" ht="15.5" x14ac:dyDescent="0.35">
      <c r="B46" s="242" t="s">
        <v>283</v>
      </c>
    </row>
    <row r="47" spans="2:13" ht="13" x14ac:dyDescent="0.3">
      <c r="B47" s="125"/>
    </row>
    <row r="48" spans="2:13" ht="13.5" thickBot="1" x14ac:dyDescent="0.35">
      <c r="B48" s="1256" t="s">
        <v>284</v>
      </c>
      <c r="C48" s="1149"/>
      <c r="D48" s="1149"/>
      <c r="E48" s="1149"/>
    </row>
    <row r="49" spans="2:10" ht="15.5" thickBot="1" x14ac:dyDescent="0.3">
      <c r="B49" s="482" t="s">
        <v>84</v>
      </c>
      <c r="C49" s="483" t="s">
        <v>149</v>
      </c>
      <c r="D49" s="483" t="s">
        <v>88</v>
      </c>
      <c r="E49" s="373" t="s">
        <v>89</v>
      </c>
      <c r="F49" s="193" t="s">
        <v>274</v>
      </c>
      <c r="H49" s="1083" t="s">
        <v>285</v>
      </c>
      <c r="I49" s="1109"/>
      <c r="J49" s="1110"/>
    </row>
    <row r="50" spans="2:10" x14ac:dyDescent="0.25">
      <c r="B50" s="486">
        <f>'IV. Datos Entrada-PE'!B232</f>
        <v>0</v>
      </c>
      <c r="C50" s="486">
        <f>'IV. Datos Entrada-PE'!C232</f>
        <v>0</v>
      </c>
      <c r="D50" s="486">
        <f>'IV. Datos Entrada-PE'!D232*'IV. Datos Entrada-PE'!E232</f>
        <v>0</v>
      </c>
      <c r="E50" s="366">
        <f>'IV. Datos Entrada-PE'!E232</f>
        <v>0</v>
      </c>
      <c r="F50" s="611">
        <f t="shared" ref="F50:F58" si="2">E50*D50*0.001</f>
        <v>0</v>
      </c>
      <c r="H50" s="1107"/>
      <c r="I50" s="1111"/>
      <c r="J50" s="1112"/>
    </row>
    <row r="51" spans="2:10" x14ac:dyDescent="0.25">
      <c r="B51" s="604">
        <f>'IV. Datos Entrada-PE'!B233</f>
        <v>0</v>
      </c>
      <c r="C51" s="604">
        <f>'IV. Datos Entrada-PE'!C233</f>
        <v>0</v>
      </c>
      <c r="D51" s="604">
        <f>'IV. Datos Entrada-PE'!D233*'IV. Datos Entrada-PE'!E233</f>
        <v>0</v>
      </c>
      <c r="E51" s="608">
        <f>'IV. Datos Entrada-PE'!E233</f>
        <v>0</v>
      </c>
      <c r="F51" s="611">
        <f t="shared" si="2"/>
        <v>0</v>
      </c>
      <c r="H51" s="1107"/>
      <c r="I51" s="1111"/>
      <c r="J51" s="1112"/>
    </row>
    <row r="52" spans="2:10" x14ac:dyDescent="0.25">
      <c r="B52" s="604">
        <f>'IV. Datos Entrada-PE'!B234</f>
        <v>0</v>
      </c>
      <c r="C52" s="604">
        <f>'IV. Datos Entrada-PE'!C234</f>
        <v>0</v>
      </c>
      <c r="D52" s="604">
        <f>'IV. Datos Entrada-PE'!D234*'IV. Datos Entrada-PE'!E234</f>
        <v>0</v>
      </c>
      <c r="E52" s="608">
        <f>'IV. Datos Entrada-PE'!E234</f>
        <v>0</v>
      </c>
      <c r="F52" s="611">
        <f t="shared" si="2"/>
        <v>0</v>
      </c>
      <c r="H52" s="1107"/>
      <c r="I52" s="1111"/>
      <c r="J52" s="1112"/>
    </row>
    <row r="53" spans="2:10" x14ac:dyDescent="0.25">
      <c r="B53" s="604">
        <f>'IV. Datos Entrada-PE'!B235</f>
        <v>0</v>
      </c>
      <c r="C53" s="604">
        <f>'IV. Datos Entrada-PE'!C235</f>
        <v>0</v>
      </c>
      <c r="D53" s="604">
        <f>'IV. Datos Entrada-PE'!D235*'IV. Datos Entrada-PE'!E235</f>
        <v>0</v>
      </c>
      <c r="E53" s="608">
        <f>'IV. Datos Entrada-PE'!E235</f>
        <v>0</v>
      </c>
      <c r="F53" s="611">
        <f t="shared" si="2"/>
        <v>0</v>
      </c>
      <c r="H53" s="1107"/>
      <c r="I53" s="1111"/>
      <c r="J53" s="1112"/>
    </row>
    <row r="54" spans="2:10" x14ac:dyDescent="0.25">
      <c r="B54" s="604">
        <f>'IV. Datos Entrada-PE'!B237</f>
        <v>0</v>
      </c>
      <c r="C54" s="604">
        <f>'IV. Datos Entrada-PE'!C237</f>
        <v>0</v>
      </c>
      <c r="D54" s="604">
        <f>'IV. Datos Entrada-PE'!D237</f>
        <v>0</v>
      </c>
      <c r="E54" s="608">
        <f>'IV. Datos Entrada-PE'!E237</f>
        <v>0</v>
      </c>
      <c r="F54" s="611">
        <f t="shared" si="2"/>
        <v>0</v>
      </c>
      <c r="H54" s="1107"/>
      <c r="I54" s="1111"/>
      <c r="J54" s="1112"/>
    </row>
    <row r="55" spans="2:10" x14ac:dyDescent="0.25">
      <c r="B55" s="604">
        <f>'IV. Datos Entrada-PE'!B238</f>
        <v>0</v>
      </c>
      <c r="C55" s="604">
        <f>'IV. Datos Entrada-PE'!C238</f>
        <v>0</v>
      </c>
      <c r="D55" s="604">
        <f>'IV. Datos Entrada-PE'!D238</f>
        <v>0</v>
      </c>
      <c r="E55" s="608">
        <f>'IV. Datos Entrada-PE'!E238</f>
        <v>0</v>
      </c>
      <c r="F55" s="611">
        <f t="shared" si="2"/>
        <v>0</v>
      </c>
      <c r="H55" s="1107"/>
      <c r="I55" s="1111"/>
      <c r="J55" s="1112"/>
    </row>
    <row r="56" spans="2:10" x14ac:dyDescent="0.25">
      <c r="B56" s="604">
        <f>'IV. Datos Entrada-PE'!B239</f>
        <v>0</v>
      </c>
      <c r="C56" s="604">
        <f>'IV. Datos Entrada-PE'!C239</f>
        <v>0</v>
      </c>
      <c r="D56" s="604">
        <f>'IV. Datos Entrada-PE'!D239</f>
        <v>0</v>
      </c>
      <c r="E56" s="608">
        <f>'IV. Datos Entrada-PE'!E239</f>
        <v>0</v>
      </c>
      <c r="F56" s="611">
        <f t="shared" si="2"/>
        <v>0</v>
      </c>
      <c r="H56" s="1107"/>
      <c r="I56" s="1111"/>
      <c r="J56" s="1112"/>
    </row>
    <row r="57" spans="2:10" x14ac:dyDescent="0.25">
      <c r="B57" s="604">
        <f>'IV. Datos Entrada-PE'!B240</f>
        <v>0</v>
      </c>
      <c r="C57" s="604">
        <f>'IV. Datos Entrada-PE'!C240</f>
        <v>0</v>
      </c>
      <c r="D57" s="604">
        <f>'IV. Datos Entrada-PE'!D240</f>
        <v>0</v>
      </c>
      <c r="E57" s="608">
        <f>'IV. Datos Entrada-PE'!E240</f>
        <v>0</v>
      </c>
      <c r="F57" s="611">
        <f t="shared" si="2"/>
        <v>0</v>
      </c>
      <c r="H57" s="1107"/>
      <c r="I57" s="1111"/>
      <c r="J57" s="1112"/>
    </row>
    <row r="58" spans="2:10" ht="13" thickBot="1" x14ac:dyDescent="0.3">
      <c r="B58" s="609">
        <f>'IV. Datos Entrada-PE'!B241</f>
        <v>0</v>
      </c>
      <c r="C58" s="609">
        <f>'IV. Datos Entrada-PE'!C241</f>
        <v>0</v>
      </c>
      <c r="D58" s="609">
        <f>'IV. Datos Entrada-PE'!D241</f>
        <v>0</v>
      </c>
      <c r="E58" s="694">
        <f>'IV. Datos Entrada-PE'!E241</f>
        <v>0</v>
      </c>
      <c r="F58" s="612">
        <f t="shared" si="2"/>
        <v>0</v>
      </c>
      <c r="H58" s="1107"/>
      <c r="I58" s="1111"/>
      <c r="J58" s="1112"/>
    </row>
    <row r="59" spans="2:10" ht="15.5" thickBot="1" x14ac:dyDescent="0.45">
      <c r="B59" s="74" t="s">
        <v>275</v>
      </c>
      <c r="C59" s="43"/>
      <c r="D59" s="43"/>
      <c r="E59" s="303"/>
      <c r="F59" s="304">
        <f>SUM(F50:F58)</f>
        <v>0</v>
      </c>
      <c r="H59" s="1107"/>
      <c r="I59" s="1111"/>
      <c r="J59" s="1112"/>
    </row>
    <row r="60" spans="2:10" x14ac:dyDescent="0.25">
      <c r="H60" s="1107"/>
      <c r="I60" s="1111"/>
      <c r="J60" s="1112"/>
    </row>
    <row r="61" spans="2:10" ht="13.5" thickBot="1" x14ac:dyDescent="0.35">
      <c r="B61" s="1256" t="s">
        <v>286</v>
      </c>
      <c r="C61" s="1149"/>
      <c r="D61" s="1149"/>
      <c r="E61" s="1149"/>
      <c r="H61" s="1107"/>
      <c r="I61" s="1111"/>
      <c r="J61" s="1112"/>
    </row>
    <row r="62" spans="2:10" ht="15.5" thickBot="1" x14ac:dyDescent="0.3">
      <c r="B62" s="174" t="s">
        <v>277</v>
      </c>
      <c r="C62" s="369" t="s">
        <v>149</v>
      </c>
      <c r="D62" s="425" t="s">
        <v>287</v>
      </c>
      <c r="E62" s="370" t="s">
        <v>288</v>
      </c>
      <c r="F62" s="489" t="s">
        <v>274</v>
      </c>
      <c r="H62" s="1107"/>
      <c r="I62" s="1111"/>
      <c r="J62" s="1112"/>
    </row>
    <row r="63" spans="2:10" x14ac:dyDescent="0.25">
      <c r="B63" s="366">
        <f>'IV. Datos Entrada-PE'!B248</f>
        <v>0</v>
      </c>
      <c r="C63" s="366">
        <f>'IV. Datos Entrada-PE'!C248</f>
        <v>0</v>
      </c>
      <c r="D63" s="436">
        <f>'IV. Datos Entrada-PE'!D248*'IV. Datos Entrada-PE'!E248</f>
        <v>0</v>
      </c>
      <c r="E63" s="366">
        <f>'IV. Datos Entrada-PE'!E248</f>
        <v>0</v>
      </c>
      <c r="F63" s="367">
        <f t="shared" ref="F63:F71" si="3">E63*D63*0.001</f>
        <v>0</v>
      </c>
      <c r="H63" s="1107"/>
      <c r="I63" s="1111"/>
      <c r="J63" s="1112"/>
    </row>
    <row r="64" spans="2:10" x14ac:dyDescent="0.25">
      <c r="B64" s="608">
        <f>'IV. Datos Entrada-PE'!B249</f>
        <v>0</v>
      </c>
      <c r="C64" s="608">
        <f>'IV. Datos Entrada-PE'!C249</f>
        <v>0</v>
      </c>
      <c r="D64" s="608">
        <f>'IV. Datos Entrada-PE'!D249*'IV. Datos Entrada-PE'!E249</f>
        <v>0</v>
      </c>
      <c r="E64" s="608">
        <f>'IV. Datos Entrada-PE'!E249</f>
        <v>0</v>
      </c>
      <c r="F64" s="367">
        <f t="shared" si="3"/>
        <v>0</v>
      </c>
      <c r="H64" s="1107"/>
      <c r="I64" s="1111"/>
      <c r="J64" s="1112"/>
    </row>
    <row r="65" spans="2:13" x14ac:dyDescent="0.25">
      <c r="B65" s="608">
        <f>'IV. Datos Entrada-PE'!B250</f>
        <v>0</v>
      </c>
      <c r="C65" s="608">
        <f>'IV. Datos Entrada-PE'!C250</f>
        <v>0</v>
      </c>
      <c r="D65" s="608">
        <f>'IV. Datos Entrada-PE'!D250*'IV. Datos Entrada-PE'!E250</f>
        <v>0</v>
      </c>
      <c r="E65" s="608">
        <f>'IV. Datos Entrada-PE'!E250</f>
        <v>0</v>
      </c>
      <c r="F65" s="367">
        <f t="shared" si="3"/>
        <v>0</v>
      </c>
      <c r="H65" s="1107"/>
      <c r="I65" s="1111"/>
      <c r="J65" s="1112"/>
    </row>
    <row r="66" spans="2:13" x14ac:dyDescent="0.25">
      <c r="B66" s="608">
        <f>'IV. Datos Entrada-PE'!B252</f>
        <v>0</v>
      </c>
      <c r="C66" s="608">
        <f>'IV. Datos Entrada-PE'!C252</f>
        <v>0</v>
      </c>
      <c r="D66" s="608">
        <f>'IV. Datos Entrada-PE'!D252*'IV. Datos Entrada-PE'!E252</f>
        <v>0</v>
      </c>
      <c r="E66" s="608">
        <f>'IV. Datos Entrada-PE'!E252</f>
        <v>0</v>
      </c>
      <c r="F66" s="367">
        <f t="shared" si="3"/>
        <v>0</v>
      </c>
      <c r="H66" s="1107"/>
      <c r="I66" s="1111"/>
      <c r="J66" s="1112"/>
    </row>
    <row r="67" spans="2:13" x14ac:dyDescent="0.25">
      <c r="B67" s="608">
        <f>'IV. Datos Entrada-PE'!B254</f>
        <v>0</v>
      </c>
      <c r="C67" s="608">
        <f>'IV. Datos Entrada-PE'!C254</f>
        <v>0</v>
      </c>
      <c r="D67" s="608">
        <f>'IV. Datos Entrada-PE'!D254</f>
        <v>0</v>
      </c>
      <c r="E67" s="608">
        <f>'IV. Datos Entrada-PE'!E254</f>
        <v>0</v>
      </c>
      <c r="F67" s="367">
        <f t="shared" si="3"/>
        <v>0</v>
      </c>
      <c r="H67" s="1107"/>
      <c r="I67" s="1111"/>
      <c r="J67" s="1112"/>
    </row>
    <row r="68" spans="2:13" x14ac:dyDescent="0.25">
      <c r="B68" s="608">
        <f>'IV. Datos Entrada-PE'!B255</f>
        <v>0</v>
      </c>
      <c r="C68" s="608">
        <f>'IV. Datos Entrada-PE'!C255</f>
        <v>0</v>
      </c>
      <c r="D68" s="608">
        <f>'IV. Datos Entrada-PE'!D255</f>
        <v>0</v>
      </c>
      <c r="E68" s="608">
        <f>'IV. Datos Entrada-PE'!E255</f>
        <v>0</v>
      </c>
      <c r="F68" s="367">
        <f t="shared" si="3"/>
        <v>0</v>
      </c>
      <c r="H68" s="1107"/>
      <c r="I68" s="1111"/>
      <c r="J68" s="1112"/>
    </row>
    <row r="69" spans="2:13" ht="13" thickBot="1" x14ac:dyDescent="0.3">
      <c r="B69" s="608">
        <f>'IV. Datos Entrada-PE'!B256</f>
        <v>0</v>
      </c>
      <c r="C69" s="608">
        <f>'IV. Datos Entrada-PE'!C256</f>
        <v>0</v>
      </c>
      <c r="D69" s="608">
        <f>'IV. Datos Entrada-PE'!D256</f>
        <v>0</v>
      </c>
      <c r="E69" s="608">
        <f>'IV. Datos Entrada-PE'!E256</f>
        <v>0</v>
      </c>
      <c r="F69" s="367">
        <f t="shared" si="3"/>
        <v>0</v>
      </c>
      <c r="H69" s="1113"/>
      <c r="I69" s="1114"/>
      <c r="J69" s="1115"/>
    </row>
    <row r="70" spans="2:13" x14ac:dyDescent="0.25">
      <c r="B70" s="608">
        <f>'IV. Datos Entrada-PE'!B257</f>
        <v>0</v>
      </c>
      <c r="C70" s="608">
        <f>'IV. Datos Entrada-PE'!C257</f>
        <v>0</v>
      </c>
      <c r="D70" s="608">
        <f>'IV. Datos Entrada-PE'!D257</f>
        <v>0</v>
      </c>
      <c r="E70" s="608">
        <f>'IV. Datos Entrada-PE'!E257</f>
        <v>0</v>
      </c>
      <c r="F70" s="367">
        <f t="shared" si="3"/>
        <v>0</v>
      </c>
    </row>
    <row r="71" spans="2:13" ht="13" thickBot="1" x14ac:dyDescent="0.3">
      <c r="B71" s="694">
        <f>'IV. Datos Entrada-PE'!B258</f>
        <v>0</v>
      </c>
      <c r="C71" s="694">
        <f>'IV. Datos Entrada-PE'!C258</f>
        <v>0</v>
      </c>
      <c r="D71" s="694">
        <f>'IV. Datos Entrada-PE'!D258</f>
        <v>0</v>
      </c>
      <c r="E71" s="694">
        <f>'IV. Datos Entrada-PE'!E258</f>
        <v>0</v>
      </c>
      <c r="F71" s="368">
        <f t="shared" si="3"/>
        <v>0</v>
      </c>
    </row>
    <row r="72" spans="2:13" ht="15.5" thickBot="1" x14ac:dyDescent="0.45">
      <c r="B72" s="74" t="s">
        <v>289</v>
      </c>
      <c r="C72" s="228"/>
      <c r="D72" s="228"/>
      <c r="E72" s="229"/>
      <c r="F72" s="304">
        <f>SUM(F63:F71)</f>
        <v>0</v>
      </c>
    </row>
    <row r="73" spans="2:13" ht="13" x14ac:dyDescent="0.3">
      <c r="B73" s="9"/>
      <c r="F73" s="141"/>
    </row>
    <row r="74" spans="2:13" ht="13.5" thickBot="1" x14ac:dyDescent="0.35">
      <c r="B74" s="1196" t="s">
        <v>290</v>
      </c>
      <c r="C74" s="1196"/>
      <c r="D74" s="1196"/>
      <c r="E74" s="1196"/>
      <c r="F74" s="141"/>
      <c r="G74" s="10"/>
      <c r="H74" s="10"/>
      <c r="I74" s="10"/>
      <c r="J74" s="10"/>
      <c r="K74" s="10"/>
      <c r="L74" s="10"/>
      <c r="M74" s="10"/>
    </row>
    <row r="75" spans="2:13" ht="15.5" thickBot="1" x14ac:dyDescent="0.45">
      <c r="B75" s="58" t="s">
        <v>96</v>
      </c>
      <c r="C75" s="71" t="s">
        <v>280</v>
      </c>
      <c r="D75" s="71" t="s">
        <v>281</v>
      </c>
      <c r="E75" s="193" t="s">
        <v>274</v>
      </c>
      <c r="F75" s="2"/>
      <c r="G75" s="10"/>
      <c r="H75" s="10"/>
      <c r="I75" s="10"/>
      <c r="J75" s="10"/>
      <c r="K75" s="10"/>
      <c r="L75" s="10"/>
      <c r="M75" s="10"/>
    </row>
    <row r="76" spans="2:13" ht="13" thickBot="1" x14ac:dyDescent="0.3">
      <c r="B76" s="490" t="str">
        <f>'IV. Datos Entrada-PE'!B265</f>
        <v>Sistema Eléctrico Nacional</v>
      </c>
      <c r="C76" s="490">
        <f>'IV. Datos Entrada-PE'!C265</f>
        <v>0</v>
      </c>
      <c r="D76" s="490">
        <f>'IV. Datos Entrada-PE'!D265</f>
        <v>0</v>
      </c>
      <c r="E76" s="491">
        <f>D76*C76*0.001</f>
        <v>0</v>
      </c>
      <c r="F76" s="2"/>
      <c r="G76" s="10"/>
      <c r="H76" s="10"/>
      <c r="I76" s="10"/>
      <c r="J76" s="10"/>
      <c r="K76" s="10"/>
      <c r="L76" s="10"/>
      <c r="M76" s="10"/>
    </row>
    <row r="77" spans="2:13" ht="13.5" thickBot="1" x14ac:dyDescent="0.3">
      <c r="B77" s="10"/>
      <c r="C77" s="10"/>
      <c r="D77" s="10"/>
      <c r="E77" s="307">
        <f>E76</f>
        <v>0</v>
      </c>
      <c r="F77" s="2"/>
      <c r="G77" s="10"/>
      <c r="H77" s="10"/>
      <c r="I77" s="10"/>
      <c r="J77" s="10"/>
      <c r="K77" s="10"/>
      <c r="L77" s="10"/>
      <c r="M77" s="10"/>
    </row>
    <row r="78" spans="2:13" ht="13" x14ac:dyDescent="0.3">
      <c r="B78" s="9"/>
    </row>
    <row r="79" spans="2:13" ht="13.5" thickBot="1" x14ac:dyDescent="0.35">
      <c r="B79" s="9" t="s">
        <v>291</v>
      </c>
    </row>
    <row r="80" spans="2:13" ht="13" x14ac:dyDescent="0.3">
      <c r="B80" s="308" t="s">
        <v>292</v>
      </c>
      <c r="C80" s="309">
        <f>C41</f>
        <v>0</v>
      </c>
      <c r="D80" s="2" t="s">
        <v>293</v>
      </c>
    </row>
    <row r="81" spans="2:7" ht="13.5" thickBot="1" x14ac:dyDescent="0.35">
      <c r="B81" s="530" t="s">
        <v>294</v>
      </c>
      <c r="C81" s="613">
        <f>C76</f>
        <v>0</v>
      </c>
      <c r="D81" s="2" t="s">
        <v>293</v>
      </c>
    </row>
    <row r="82" spans="2:7" ht="13.5" thickBot="1" x14ac:dyDescent="0.35">
      <c r="B82" s="310" t="s">
        <v>295</v>
      </c>
      <c r="C82" s="311">
        <f>IF((C81-C80)&gt;0, (C81-C80), 0)</f>
        <v>0</v>
      </c>
      <c r="D82" s="2" t="s">
        <v>293</v>
      </c>
    </row>
    <row r="83" spans="2:7" ht="13.5" thickBot="1" x14ac:dyDescent="0.35">
      <c r="B83" s="293"/>
      <c r="C83" s="312"/>
    </row>
    <row r="84" spans="2:7" ht="13.5" thickBot="1" x14ac:dyDescent="0.35">
      <c r="B84" s="313" t="s">
        <v>296</v>
      </c>
      <c r="C84" s="314">
        <f>'IV. Datos Entrada-PE'!C277</f>
        <v>0</v>
      </c>
      <c r="D84" s="2" t="s">
        <v>293</v>
      </c>
    </row>
    <row r="85" spans="2:7" ht="13.5" thickBot="1" x14ac:dyDescent="0.35">
      <c r="B85" s="310" t="s">
        <v>297</v>
      </c>
      <c r="C85" s="315">
        <f>IF((C84-C82)&gt;0, 0, 1)</f>
        <v>1</v>
      </c>
      <c r="D85" s="316" t="s">
        <v>298</v>
      </c>
    </row>
    <row r="86" spans="2:7" ht="13.5" thickBot="1" x14ac:dyDescent="0.35">
      <c r="B86" s="9"/>
    </row>
    <row r="87" spans="2:7" ht="13.5" thickBot="1" x14ac:dyDescent="0.35">
      <c r="B87" s="74" t="s">
        <v>299</v>
      </c>
      <c r="C87" s="43"/>
      <c r="D87" s="43"/>
      <c r="E87" s="303"/>
      <c r="F87" s="306">
        <f>F59+F72+(E77*C85)</f>
        <v>0</v>
      </c>
      <c r="G87" s="9"/>
    </row>
  </sheetData>
  <sheetProtection password="CCBF" sheet="1" objects="1" scenarios="1"/>
  <mergeCells count="8">
    <mergeCell ref="B74:E74"/>
    <mergeCell ref="B13:E13"/>
    <mergeCell ref="H14:J34"/>
    <mergeCell ref="B26:E26"/>
    <mergeCell ref="B39:E39"/>
    <mergeCell ref="B48:E48"/>
    <mergeCell ref="H49:J69"/>
    <mergeCell ref="B61:E6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B2:AC261"/>
  <sheetViews>
    <sheetView showGridLines="0" tabSelected="1" topLeftCell="A172" zoomScaleNormal="100" workbookViewId="0">
      <selection activeCell="B129" sqref="B129:R174"/>
    </sheetView>
  </sheetViews>
  <sheetFormatPr defaultColWidth="8.83203125" defaultRowHeight="12.5" x14ac:dyDescent="0.25"/>
  <cols>
    <col min="1" max="1" width="4" style="2" customWidth="1"/>
    <col min="2" max="2" width="27.9140625" style="2" customWidth="1"/>
    <col min="3" max="3" width="27.58203125" style="2" customWidth="1"/>
    <col min="4" max="8" width="16.08203125" style="2" customWidth="1"/>
    <col min="9" max="9" width="12.4140625" style="2" customWidth="1"/>
    <col min="10" max="21" width="8.83203125" style="2"/>
    <col min="22" max="22" width="70" style="2" customWidth="1"/>
    <col min="23" max="16384" width="8.83203125" style="2"/>
  </cols>
  <sheetData>
    <row r="2" spans="2:29" ht="18" x14ac:dyDescent="0.4">
      <c r="B2" s="6" t="s">
        <v>300</v>
      </c>
      <c r="H2" s="701"/>
      <c r="I2" s="701"/>
      <c r="J2" s="701"/>
    </row>
    <row r="3" spans="2:29" ht="17.5" x14ac:dyDescent="0.35">
      <c r="B3" s="768" t="s">
        <v>508</v>
      </c>
      <c r="H3" s="701"/>
      <c r="I3" s="701"/>
      <c r="J3" s="701"/>
    </row>
    <row r="4" spans="2:29" ht="13" x14ac:dyDescent="0.3">
      <c r="B4" s="9"/>
    </row>
    <row r="5" spans="2:29" ht="15.5" x14ac:dyDescent="0.35">
      <c r="B5" s="94" t="s">
        <v>301</v>
      </c>
    </row>
    <row r="6" spans="2:29" ht="16" thickBot="1" x14ac:dyDescent="0.4">
      <c r="B6" s="754" t="s">
        <v>509</v>
      </c>
    </row>
    <row r="7" spans="2:29" s="95" customFormat="1" ht="29.5" customHeight="1" x14ac:dyDescent="0.35">
      <c r="B7" s="1301" t="s">
        <v>597</v>
      </c>
      <c r="C7" s="1302"/>
      <c r="D7" s="1303" t="s">
        <v>598</v>
      </c>
      <c r="E7" s="1303"/>
      <c r="F7" s="1303"/>
      <c r="G7" s="1303"/>
      <c r="H7" s="1303"/>
      <c r="I7" s="1304"/>
      <c r="AB7"/>
      <c r="AC7"/>
    </row>
    <row r="8" spans="2:29" ht="12.5" customHeight="1" x14ac:dyDescent="0.25">
      <c r="B8" s="1270" t="s">
        <v>551</v>
      </c>
      <c r="C8" s="1271"/>
      <c r="D8" s="1271" t="s">
        <v>552</v>
      </c>
      <c r="E8" s="1271"/>
      <c r="F8" s="1271"/>
      <c r="G8" s="1271"/>
      <c r="H8" s="1271"/>
      <c r="I8" s="1305"/>
      <c r="AB8" s="1038" t="s">
        <v>1021</v>
      </c>
      <c r="AC8" s="1038"/>
    </row>
    <row r="9" spans="2:29" ht="13" customHeight="1" x14ac:dyDescent="0.25">
      <c r="B9" s="1272" t="s">
        <v>510</v>
      </c>
      <c r="C9" s="1273"/>
      <c r="D9" s="1273" t="s">
        <v>511</v>
      </c>
      <c r="E9" s="1273"/>
      <c r="F9" s="1273"/>
      <c r="G9" s="1273"/>
      <c r="H9" s="1273"/>
      <c r="I9" s="1309"/>
      <c r="AB9" s="1038" t="s">
        <v>1022</v>
      </c>
      <c r="AC9" s="1038"/>
    </row>
    <row r="10" spans="2:29" ht="30.5" customHeight="1" x14ac:dyDescent="0.25">
      <c r="B10" s="1270" t="s">
        <v>553</v>
      </c>
      <c r="C10" s="1271"/>
      <c r="D10" s="1271" t="s">
        <v>554</v>
      </c>
      <c r="E10" s="1271"/>
      <c r="F10" s="1271"/>
      <c r="G10" s="1271"/>
      <c r="H10" s="1271"/>
      <c r="I10" s="1305"/>
      <c r="AB10" s="186" t="s">
        <v>1023</v>
      </c>
      <c r="AC10" s="186"/>
    </row>
    <row r="11" spans="2:29" s="316" customFormat="1" ht="26" customHeight="1" x14ac:dyDescent="0.3">
      <c r="B11" s="1272" t="s">
        <v>512</v>
      </c>
      <c r="C11" s="1273"/>
      <c r="D11" s="1273" t="s">
        <v>513</v>
      </c>
      <c r="E11" s="1273"/>
      <c r="F11" s="1273"/>
      <c r="G11" s="1273"/>
      <c r="H11" s="1273"/>
      <c r="I11" s="1309"/>
      <c r="AB11" s="1038" t="s">
        <v>1024</v>
      </c>
      <c r="AC11" s="1038"/>
    </row>
    <row r="12" spans="2:29" ht="40.5" customHeight="1" x14ac:dyDescent="0.25">
      <c r="B12" s="1270" t="s">
        <v>555</v>
      </c>
      <c r="C12" s="1271"/>
      <c r="D12" s="1271" t="s">
        <v>556</v>
      </c>
      <c r="E12" s="1271"/>
      <c r="F12" s="1271"/>
      <c r="G12" s="1271"/>
      <c r="H12" s="1271"/>
      <c r="I12" s="1305"/>
      <c r="AB12" s="1038" t="s">
        <v>1025</v>
      </c>
      <c r="AC12" s="1038"/>
    </row>
    <row r="13" spans="2:29" s="316" customFormat="1" ht="32.5" customHeight="1" x14ac:dyDescent="0.3">
      <c r="B13" s="1274" t="s">
        <v>514</v>
      </c>
      <c r="C13" s="1275"/>
      <c r="D13" s="1275" t="s">
        <v>515</v>
      </c>
      <c r="E13" s="1275"/>
      <c r="F13" s="1275"/>
      <c r="G13" s="1275"/>
      <c r="H13" s="1275"/>
      <c r="I13" s="1312"/>
      <c r="AB13" s="1038" t="s">
        <v>1026</v>
      </c>
      <c r="AC13" s="1038"/>
    </row>
    <row r="14" spans="2:29" ht="38" customHeight="1" x14ac:dyDescent="0.25">
      <c r="B14" s="1270" t="s">
        <v>557</v>
      </c>
      <c r="C14" s="1271"/>
      <c r="D14" s="1271" t="s">
        <v>558</v>
      </c>
      <c r="E14" s="1271"/>
      <c r="F14" s="1271"/>
      <c r="G14" s="1271"/>
      <c r="H14" s="1271"/>
      <c r="I14" s="1305"/>
      <c r="AB14" s="1038" t="s">
        <v>1027</v>
      </c>
      <c r="AC14" s="1038"/>
    </row>
    <row r="15" spans="2:29" s="316" customFormat="1" ht="30.5" customHeight="1" x14ac:dyDescent="0.3">
      <c r="B15" s="1274" t="s">
        <v>516</v>
      </c>
      <c r="C15" s="1275"/>
      <c r="D15" s="1275" t="s">
        <v>517</v>
      </c>
      <c r="E15" s="1275"/>
      <c r="F15" s="1275"/>
      <c r="G15" s="1275"/>
      <c r="H15" s="1275"/>
      <c r="I15" s="1312"/>
      <c r="AB15" s="106" t="s">
        <v>1028</v>
      </c>
      <c r="AC15" s="106"/>
    </row>
    <row r="16" spans="2:29" ht="44" customHeight="1" x14ac:dyDescent="0.25">
      <c r="B16" s="1270" t="s">
        <v>559</v>
      </c>
      <c r="C16" s="1271"/>
      <c r="D16" s="1271" t="s">
        <v>560</v>
      </c>
      <c r="E16" s="1271"/>
      <c r="F16" s="1271"/>
      <c r="G16" s="1271"/>
      <c r="H16" s="1271"/>
      <c r="I16" s="1305"/>
      <c r="AB16" s="186" t="s">
        <v>1029</v>
      </c>
      <c r="AC16" s="186"/>
    </row>
    <row r="17" spans="2:29" s="316" customFormat="1" ht="30" customHeight="1" x14ac:dyDescent="0.3">
      <c r="B17" s="1272" t="s">
        <v>518</v>
      </c>
      <c r="C17" s="1273"/>
      <c r="D17" s="1273" t="s">
        <v>519</v>
      </c>
      <c r="E17" s="1273"/>
      <c r="F17" s="1273"/>
      <c r="G17" s="1273"/>
      <c r="H17" s="1273"/>
      <c r="I17" s="1309"/>
      <c r="AB17" s="186" t="s">
        <v>1030</v>
      </c>
      <c r="AC17" s="186"/>
    </row>
    <row r="18" spans="2:29" ht="44" customHeight="1" x14ac:dyDescent="0.25">
      <c r="B18" s="1270" t="s">
        <v>561</v>
      </c>
      <c r="C18" s="1271"/>
      <c r="D18" s="1271" t="s">
        <v>562</v>
      </c>
      <c r="E18" s="1271"/>
      <c r="F18" s="1271"/>
      <c r="G18" s="1271"/>
      <c r="H18" s="1271"/>
      <c r="I18" s="1305"/>
      <c r="AB18" s="186" t="s">
        <v>1031</v>
      </c>
      <c r="AC18" s="186"/>
    </row>
    <row r="19" spans="2:29" s="316" customFormat="1" ht="41.5" customHeight="1" x14ac:dyDescent="0.3">
      <c r="B19" s="1272" t="s">
        <v>520</v>
      </c>
      <c r="C19" s="1273"/>
      <c r="D19" s="1273" t="s">
        <v>599</v>
      </c>
      <c r="E19" s="1273"/>
      <c r="F19" s="1273"/>
      <c r="G19" s="1273"/>
      <c r="H19" s="1273"/>
      <c r="I19" s="1309"/>
      <c r="AB19" s="186" t="s">
        <v>1032</v>
      </c>
      <c r="AC19" s="186"/>
    </row>
    <row r="20" spans="2:29" ht="32" customHeight="1" x14ac:dyDescent="0.25">
      <c r="B20" s="1270" t="s">
        <v>563</v>
      </c>
      <c r="C20" s="1271"/>
      <c r="D20" s="1271" t="s">
        <v>564</v>
      </c>
      <c r="E20" s="1271"/>
      <c r="F20" s="1271"/>
      <c r="G20" s="1271"/>
      <c r="H20" s="1271"/>
      <c r="I20" s="1305"/>
      <c r="AB20" s="186" t="s">
        <v>1033</v>
      </c>
      <c r="AC20" s="186"/>
    </row>
    <row r="21" spans="2:29" s="316" customFormat="1" ht="24.5" customHeight="1" x14ac:dyDescent="0.3">
      <c r="B21" s="1272" t="s">
        <v>521</v>
      </c>
      <c r="C21" s="1273"/>
      <c r="D21" s="1273" t="s">
        <v>522</v>
      </c>
      <c r="E21" s="1273"/>
      <c r="F21" s="1273"/>
      <c r="G21" s="1273"/>
      <c r="H21" s="1273"/>
      <c r="I21" s="1309"/>
      <c r="AB21" s="1038" t="s">
        <v>1034</v>
      </c>
      <c r="AC21" s="1039"/>
    </row>
    <row r="22" spans="2:29" ht="59" customHeight="1" x14ac:dyDescent="0.25">
      <c r="B22" s="1313" t="s">
        <v>565</v>
      </c>
      <c r="C22" s="1314"/>
      <c r="D22" s="1314" t="s">
        <v>566</v>
      </c>
      <c r="E22" s="1314"/>
      <c r="F22" s="1314"/>
      <c r="G22" s="1314"/>
      <c r="H22" s="1314"/>
      <c r="I22" s="1316"/>
      <c r="AB22" s="1038" t="s">
        <v>1035</v>
      </c>
      <c r="AC22" s="1039"/>
    </row>
    <row r="23" spans="2:29" s="316" customFormat="1" ht="41" customHeight="1" x14ac:dyDescent="0.3">
      <c r="B23" s="1315" t="s">
        <v>523</v>
      </c>
      <c r="C23" s="1310"/>
      <c r="D23" s="1310" t="s">
        <v>524</v>
      </c>
      <c r="E23" s="1310"/>
      <c r="F23" s="1310"/>
      <c r="G23" s="1310"/>
      <c r="H23" s="1310"/>
      <c r="I23" s="1311"/>
      <c r="AB23" s="1038" t="s">
        <v>1036</v>
      </c>
      <c r="AC23" s="1039"/>
    </row>
    <row r="24" spans="2:29" s="316" customFormat="1" ht="80.5" customHeight="1" x14ac:dyDescent="0.3">
      <c r="B24" s="1270" t="s">
        <v>567</v>
      </c>
      <c r="C24" s="1271"/>
      <c r="D24" s="1271" t="s">
        <v>568</v>
      </c>
      <c r="E24" s="1271"/>
      <c r="F24" s="1271"/>
      <c r="G24" s="1271"/>
      <c r="H24" s="1271"/>
      <c r="I24" s="1305"/>
      <c r="AB24" s="2"/>
      <c r="AC24" s="2"/>
    </row>
    <row r="25" spans="2:29" s="316" customFormat="1" ht="68.5" customHeight="1" x14ac:dyDescent="0.3">
      <c r="B25" s="1272" t="s">
        <v>525</v>
      </c>
      <c r="C25" s="1273"/>
      <c r="D25" s="1273" t="s">
        <v>526</v>
      </c>
      <c r="E25" s="1273"/>
      <c r="F25" s="1273"/>
      <c r="G25" s="1273"/>
      <c r="H25" s="1273"/>
      <c r="I25" s="1309"/>
    </row>
    <row r="26" spans="2:29" ht="67.5" customHeight="1" x14ac:dyDescent="0.25">
      <c r="B26" s="1270" t="s">
        <v>569</v>
      </c>
      <c r="C26" s="1271"/>
      <c r="D26" s="1271" t="s">
        <v>570</v>
      </c>
      <c r="E26" s="1271"/>
      <c r="F26" s="1271"/>
      <c r="G26" s="1271"/>
      <c r="H26" s="1271"/>
      <c r="I26" s="1305"/>
    </row>
    <row r="27" spans="2:29" s="316" customFormat="1" ht="54.5" customHeight="1" x14ac:dyDescent="0.3">
      <c r="B27" s="1274" t="s">
        <v>527</v>
      </c>
      <c r="C27" s="1275"/>
      <c r="D27" s="1275" t="s">
        <v>528</v>
      </c>
      <c r="E27" s="1275"/>
      <c r="F27" s="1275"/>
      <c r="G27" s="1275"/>
      <c r="H27" s="1275"/>
      <c r="I27" s="1312"/>
      <c r="AB27" s="2"/>
      <c r="AC27" s="2"/>
    </row>
    <row r="28" spans="2:29" ht="82.5" customHeight="1" x14ac:dyDescent="0.25">
      <c r="B28" s="1306" t="s">
        <v>571</v>
      </c>
      <c r="C28" s="769" t="s">
        <v>572</v>
      </c>
      <c r="D28" s="1271" t="s">
        <v>573</v>
      </c>
      <c r="E28" s="1271"/>
      <c r="F28" s="1271"/>
      <c r="G28" s="1271"/>
      <c r="H28" s="1271"/>
      <c r="I28" s="1305"/>
    </row>
    <row r="29" spans="2:29" ht="70" customHeight="1" x14ac:dyDescent="0.25">
      <c r="B29" s="1307"/>
      <c r="C29" s="770" t="s">
        <v>529</v>
      </c>
      <c r="D29" s="1273" t="s">
        <v>530</v>
      </c>
      <c r="E29" s="1273"/>
      <c r="F29" s="1273"/>
      <c r="G29" s="1273"/>
      <c r="H29" s="1273"/>
      <c r="I29" s="1309"/>
    </row>
    <row r="30" spans="2:29" ht="58" customHeight="1" x14ac:dyDescent="0.25">
      <c r="B30" s="1307"/>
      <c r="C30" s="317" t="s">
        <v>574</v>
      </c>
      <c r="D30" s="1271" t="s">
        <v>575</v>
      </c>
      <c r="E30" s="1271"/>
      <c r="F30" s="1271"/>
      <c r="G30" s="1271"/>
      <c r="H30" s="1271"/>
      <c r="I30" s="1305"/>
    </row>
    <row r="31" spans="2:29" ht="44.5" customHeight="1" x14ac:dyDescent="0.3">
      <c r="B31" s="1308"/>
      <c r="C31" s="770" t="s">
        <v>531</v>
      </c>
      <c r="D31" s="1273" t="s">
        <v>532</v>
      </c>
      <c r="E31" s="1273"/>
      <c r="F31" s="1273"/>
      <c r="G31" s="1273"/>
      <c r="H31" s="1273"/>
      <c r="I31" s="1309"/>
      <c r="AB31" s="316"/>
      <c r="AC31" s="316"/>
    </row>
    <row r="32" spans="2:29" x14ac:dyDescent="0.25">
      <c r="B32" s="1270" t="s">
        <v>576</v>
      </c>
      <c r="C32" s="1271"/>
      <c r="D32" s="1271" t="s">
        <v>577</v>
      </c>
      <c r="E32" s="1271"/>
      <c r="F32" s="1271"/>
      <c r="G32" s="1271"/>
      <c r="H32" s="1271"/>
      <c r="I32" s="1305"/>
    </row>
    <row r="33" spans="2:29" s="316" customFormat="1" ht="15.5" customHeight="1" x14ac:dyDescent="0.3">
      <c r="B33" s="1272" t="s">
        <v>533</v>
      </c>
      <c r="C33" s="1273"/>
      <c r="D33" s="1273" t="s">
        <v>534</v>
      </c>
      <c r="E33" s="1273"/>
      <c r="F33" s="1273"/>
      <c r="G33" s="1273"/>
      <c r="H33" s="1273"/>
      <c r="I33" s="1309"/>
    </row>
    <row r="34" spans="2:29" ht="71.5" customHeight="1" x14ac:dyDescent="0.25">
      <c r="B34" s="1270" t="s">
        <v>578</v>
      </c>
      <c r="C34" s="1271"/>
      <c r="D34" s="1271" t="s">
        <v>579</v>
      </c>
      <c r="E34" s="1271"/>
      <c r="F34" s="1271"/>
      <c r="G34" s="1271"/>
      <c r="H34" s="1271"/>
      <c r="I34" s="1305"/>
    </row>
    <row r="35" spans="2:29" s="316" customFormat="1" ht="58" customHeight="1" x14ac:dyDescent="0.3">
      <c r="B35" s="771" t="s">
        <v>535</v>
      </c>
      <c r="C35" s="770"/>
      <c r="D35" s="1273" t="s">
        <v>536</v>
      </c>
      <c r="E35" s="1273"/>
      <c r="F35" s="1273"/>
      <c r="G35" s="1273"/>
      <c r="H35" s="1273"/>
      <c r="I35" s="1309"/>
      <c r="AB35" s="2"/>
      <c r="AC35" s="2"/>
    </row>
    <row r="36" spans="2:29" ht="15.5" customHeight="1" x14ac:dyDescent="0.25">
      <c r="B36" s="1306" t="s">
        <v>580</v>
      </c>
      <c r="C36" s="769" t="s">
        <v>581</v>
      </c>
      <c r="D36" s="1271" t="s">
        <v>582</v>
      </c>
      <c r="E36" s="1271"/>
      <c r="F36" s="1271"/>
      <c r="G36" s="1271"/>
      <c r="H36" s="1271"/>
      <c r="I36" s="1305"/>
    </row>
    <row r="37" spans="2:29" ht="15.5" customHeight="1" x14ac:dyDescent="0.25">
      <c r="B37" s="1307"/>
      <c r="C37" s="770" t="s">
        <v>537</v>
      </c>
      <c r="D37" s="1273" t="s">
        <v>538</v>
      </c>
      <c r="E37" s="1273"/>
      <c r="F37" s="1273"/>
      <c r="G37" s="1273"/>
      <c r="H37" s="1273"/>
      <c r="I37" s="1309"/>
    </row>
    <row r="38" spans="2:29" ht="15.5" customHeight="1" x14ac:dyDescent="0.25">
      <c r="B38" s="1307"/>
      <c r="C38" s="317" t="s">
        <v>583</v>
      </c>
      <c r="D38" s="1271" t="s">
        <v>584</v>
      </c>
      <c r="E38" s="1271"/>
      <c r="F38" s="1271"/>
      <c r="G38" s="1271"/>
      <c r="H38" s="1271"/>
      <c r="I38" s="1305"/>
    </row>
    <row r="39" spans="2:29" ht="15.5" customHeight="1" x14ac:dyDescent="0.25">
      <c r="B39" s="1307"/>
      <c r="C39" s="770" t="s">
        <v>539</v>
      </c>
      <c r="D39" s="1273" t="s">
        <v>540</v>
      </c>
      <c r="E39" s="1273"/>
      <c r="F39" s="1273"/>
      <c r="G39" s="1273"/>
      <c r="H39" s="1273"/>
      <c r="I39" s="1309"/>
    </row>
    <row r="40" spans="2:29" ht="15.5" customHeight="1" x14ac:dyDescent="0.25">
      <c r="B40" s="1307"/>
      <c r="C40" s="769" t="s">
        <v>585</v>
      </c>
      <c r="D40" s="1271" t="s">
        <v>586</v>
      </c>
      <c r="E40" s="1271"/>
      <c r="F40" s="1271"/>
      <c r="G40" s="1271"/>
      <c r="H40" s="1271"/>
      <c r="I40" s="1305"/>
    </row>
    <row r="41" spans="2:29" ht="15.5" customHeight="1" x14ac:dyDescent="0.25">
      <c r="B41" s="1307"/>
      <c r="C41" s="770" t="s">
        <v>541</v>
      </c>
      <c r="D41" s="1273" t="s">
        <v>542</v>
      </c>
      <c r="E41" s="1273"/>
      <c r="F41" s="1273"/>
      <c r="G41" s="1273"/>
      <c r="H41" s="1273"/>
      <c r="I41" s="1309"/>
    </row>
    <row r="42" spans="2:29" ht="15.5" customHeight="1" x14ac:dyDescent="0.25">
      <c r="B42" s="1307"/>
      <c r="C42" s="769" t="s">
        <v>587</v>
      </c>
      <c r="D42" s="1271" t="s">
        <v>588</v>
      </c>
      <c r="E42" s="1271"/>
      <c r="F42" s="1271"/>
      <c r="G42" s="1271"/>
      <c r="H42" s="1271"/>
      <c r="I42" s="1305"/>
    </row>
    <row r="43" spans="2:29" ht="15.5" customHeight="1" x14ac:dyDescent="0.3">
      <c r="B43" s="1308"/>
      <c r="C43" s="770" t="s">
        <v>543</v>
      </c>
      <c r="D43" s="1273" t="s">
        <v>544</v>
      </c>
      <c r="E43" s="1273"/>
      <c r="F43" s="1273"/>
      <c r="G43" s="1273"/>
      <c r="H43" s="1273"/>
      <c r="I43" s="1309"/>
      <c r="AB43" s="316"/>
      <c r="AC43" s="316"/>
    </row>
    <row r="44" spans="2:29" ht="73" customHeight="1" x14ac:dyDescent="0.25">
      <c r="B44" s="1270" t="s">
        <v>589</v>
      </c>
      <c r="C44" s="1271"/>
      <c r="D44" s="1271" t="s">
        <v>590</v>
      </c>
      <c r="E44" s="1271"/>
      <c r="F44" s="1271"/>
      <c r="G44" s="1271"/>
      <c r="H44" s="1271"/>
      <c r="I44" s="1305"/>
    </row>
    <row r="45" spans="2:29" s="316" customFormat="1" ht="60" customHeight="1" x14ac:dyDescent="0.3">
      <c r="B45" s="1272" t="s">
        <v>545</v>
      </c>
      <c r="C45" s="1273"/>
      <c r="D45" s="1273" t="s">
        <v>546</v>
      </c>
      <c r="E45" s="1273"/>
      <c r="F45" s="1273"/>
      <c r="G45" s="1273"/>
      <c r="H45" s="1273"/>
      <c r="I45" s="1309"/>
    </row>
    <row r="46" spans="2:29" ht="71.5" customHeight="1" x14ac:dyDescent="0.25">
      <c r="B46" s="1270" t="s">
        <v>591</v>
      </c>
      <c r="C46" s="1271"/>
      <c r="D46" s="1271" t="s">
        <v>592</v>
      </c>
      <c r="E46" s="1271"/>
      <c r="F46" s="1271"/>
      <c r="G46" s="1271"/>
      <c r="H46" s="1271"/>
      <c r="I46" s="1305"/>
    </row>
    <row r="47" spans="2:29" s="316" customFormat="1" ht="63" customHeight="1" x14ac:dyDescent="0.3">
      <c r="B47" s="1272" t="s">
        <v>547</v>
      </c>
      <c r="C47" s="1273"/>
      <c r="D47" s="1273" t="s">
        <v>548</v>
      </c>
      <c r="E47" s="1273"/>
      <c r="F47" s="1273"/>
      <c r="G47" s="1273"/>
      <c r="H47" s="1273"/>
      <c r="I47" s="1309"/>
    </row>
    <row r="48" spans="2:29" ht="44" customHeight="1" x14ac:dyDescent="0.25">
      <c r="B48" s="1270" t="s">
        <v>593</v>
      </c>
      <c r="C48" s="1271"/>
      <c r="D48" s="1271" t="s">
        <v>594</v>
      </c>
      <c r="E48" s="1271"/>
      <c r="F48" s="1271"/>
      <c r="G48" s="1271"/>
      <c r="H48" s="1271"/>
      <c r="I48" s="1305"/>
    </row>
    <row r="49" spans="2:29" s="316" customFormat="1" ht="41" customHeight="1" thickBot="1" x14ac:dyDescent="0.35">
      <c r="B49" s="1320" t="s">
        <v>549</v>
      </c>
      <c r="C49" s="1321"/>
      <c r="D49" s="1321" t="s">
        <v>550</v>
      </c>
      <c r="E49" s="1321"/>
      <c r="F49" s="1321"/>
      <c r="G49" s="1321"/>
      <c r="H49" s="1321"/>
      <c r="I49" s="1322"/>
      <c r="AB49" s="2"/>
      <c r="AC49" s="2"/>
    </row>
    <row r="50" spans="2:29" ht="28" customHeight="1" x14ac:dyDescent="0.25">
      <c r="B50" s="1323" t="s">
        <v>302</v>
      </c>
      <c r="C50" s="1323"/>
      <c r="D50" s="1323"/>
      <c r="E50" s="1323"/>
      <c r="F50" s="1323"/>
      <c r="G50" s="1323"/>
      <c r="H50" s="1323"/>
      <c r="I50" s="1323"/>
    </row>
    <row r="51" spans="2:29" ht="31.5" customHeight="1" x14ac:dyDescent="0.25">
      <c r="B51" s="1136" t="s">
        <v>595</v>
      </c>
      <c r="C51" s="1136"/>
      <c r="D51" s="1136"/>
      <c r="E51" s="1136"/>
      <c r="F51" s="1136"/>
      <c r="G51" s="1136"/>
      <c r="H51" s="1136"/>
      <c r="I51" s="1136"/>
    </row>
    <row r="52" spans="2:29" ht="28" customHeight="1" x14ac:dyDescent="0.25">
      <c r="B52" s="1267" t="s">
        <v>303</v>
      </c>
      <c r="C52" s="1267"/>
      <c r="D52" s="1267"/>
      <c r="E52" s="1267"/>
      <c r="F52" s="1267"/>
      <c r="G52" s="1267"/>
      <c r="H52" s="1267"/>
      <c r="I52" s="1267"/>
    </row>
    <row r="53" spans="2:29" ht="28" customHeight="1" x14ac:dyDescent="0.25">
      <c r="B53" s="1267" t="s">
        <v>596</v>
      </c>
      <c r="C53" s="1267"/>
      <c r="D53" s="1267"/>
      <c r="E53" s="1267"/>
      <c r="F53" s="1267"/>
      <c r="G53" s="1267"/>
      <c r="H53" s="1267"/>
      <c r="I53" s="1267"/>
    </row>
    <row r="54" spans="2:29" ht="13" x14ac:dyDescent="0.3">
      <c r="B54" s="9"/>
    </row>
    <row r="55" spans="2:29" ht="15.5" x14ac:dyDescent="0.35">
      <c r="B55" s="94" t="s">
        <v>304</v>
      </c>
      <c r="AB55" s="101"/>
      <c r="AC55" s="101"/>
    </row>
    <row r="56" spans="2:29" ht="16" thickBot="1" x14ac:dyDescent="0.4">
      <c r="B56" s="754" t="s">
        <v>628</v>
      </c>
      <c r="AB56" s="101"/>
      <c r="AC56" s="101"/>
    </row>
    <row r="57" spans="2:29" s="101" customFormat="1" ht="40" customHeight="1" x14ac:dyDescent="0.35">
      <c r="B57" s="1281" t="s">
        <v>602</v>
      </c>
      <c r="C57" s="1282"/>
      <c r="D57" s="450" t="s">
        <v>305</v>
      </c>
      <c r="E57" s="451" t="s">
        <v>601</v>
      </c>
    </row>
    <row r="58" spans="2:29" s="101" customFormat="1" ht="12.5" customHeight="1" x14ac:dyDescent="0.35">
      <c r="B58" s="1283" t="s">
        <v>600</v>
      </c>
      <c r="C58" s="1284"/>
      <c r="D58" s="778"/>
      <c r="E58" s="779"/>
    </row>
    <row r="59" spans="2:29" s="101" customFormat="1" ht="31.5" customHeight="1" x14ac:dyDescent="0.35">
      <c r="B59" s="1268" t="s">
        <v>979</v>
      </c>
      <c r="C59" s="1269"/>
      <c r="D59" s="780">
        <v>550</v>
      </c>
      <c r="E59" s="781" t="s">
        <v>306</v>
      </c>
    </row>
    <row r="60" spans="2:29" s="101" customFormat="1" ht="28.5" customHeight="1" x14ac:dyDescent="0.25">
      <c r="B60" s="1268" t="s">
        <v>976</v>
      </c>
      <c r="C60" s="1269"/>
      <c r="D60" s="780">
        <v>332</v>
      </c>
      <c r="E60" s="781" t="s">
        <v>307</v>
      </c>
      <c r="G60" s="2"/>
      <c r="H60" s="2"/>
    </row>
    <row r="61" spans="2:29" s="101" customFormat="1" ht="28.5" customHeight="1" x14ac:dyDescent="0.25">
      <c r="B61" s="1257" t="s">
        <v>977</v>
      </c>
      <c r="C61" s="1258"/>
      <c r="D61" s="780">
        <v>332</v>
      </c>
      <c r="E61" s="781" t="s">
        <v>307</v>
      </c>
      <c r="G61" s="2"/>
      <c r="H61" s="2"/>
    </row>
    <row r="62" spans="2:29" s="101" customFormat="1" ht="28.5" customHeight="1" x14ac:dyDescent="0.25">
      <c r="B62" s="1268" t="s">
        <v>975</v>
      </c>
      <c r="C62" s="1269"/>
      <c r="D62" s="780">
        <v>450</v>
      </c>
      <c r="E62" s="781" t="s">
        <v>307</v>
      </c>
      <c r="G62" s="2"/>
      <c r="H62" s="2"/>
    </row>
    <row r="63" spans="2:29" s="101" customFormat="1" ht="28.5" customHeight="1" x14ac:dyDescent="0.25">
      <c r="B63" s="1268" t="s">
        <v>603</v>
      </c>
      <c r="C63" s="1269"/>
      <c r="D63" s="780">
        <v>145</v>
      </c>
      <c r="E63" s="781" t="s">
        <v>308</v>
      </c>
      <c r="G63" s="2"/>
      <c r="H63" s="2"/>
    </row>
    <row r="64" spans="2:29" s="101" customFormat="1" ht="31" customHeight="1" x14ac:dyDescent="0.25">
      <c r="B64" s="1268" t="s">
        <v>604</v>
      </c>
      <c r="C64" s="1269"/>
      <c r="D64" s="780">
        <v>60</v>
      </c>
      <c r="E64" s="781" t="s">
        <v>308</v>
      </c>
      <c r="G64" s="2"/>
      <c r="H64" s="2"/>
    </row>
    <row r="65" spans="2:29" s="101" customFormat="1" ht="25.5" customHeight="1" x14ac:dyDescent="0.35">
      <c r="B65" s="1268" t="s">
        <v>980</v>
      </c>
      <c r="C65" s="1269"/>
      <c r="D65" s="780">
        <v>240</v>
      </c>
      <c r="E65" s="781" t="s">
        <v>308</v>
      </c>
    </row>
    <row r="66" spans="2:29" s="101" customFormat="1" ht="28" customHeight="1" x14ac:dyDescent="0.35">
      <c r="B66" s="1318" t="s">
        <v>978</v>
      </c>
      <c r="C66" s="1319"/>
      <c r="D66" s="780">
        <v>420</v>
      </c>
      <c r="E66" s="781" t="s">
        <v>308</v>
      </c>
    </row>
    <row r="67" spans="2:29" s="101" customFormat="1" ht="15" customHeight="1" x14ac:dyDescent="0.35">
      <c r="B67" s="994" t="s">
        <v>630</v>
      </c>
      <c r="C67" s="993"/>
      <c r="D67" s="789"/>
      <c r="E67" s="790"/>
    </row>
    <row r="68" spans="2:29" s="101" customFormat="1" ht="25.5" customHeight="1" x14ac:dyDescent="0.25">
      <c r="B68" s="1317" t="s">
        <v>605</v>
      </c>
      <c r="C68" s="1258"/>
      <c r="D68" s="785">
        <v>28</v>
      </c>
      <c r="E68" s="781" t="s">
        <v>309</v>
      </c>
      <c r="G68" s="2"/>
      <c r="H68" s="2"/>
    </row>
    <row r="69" spans="2:29" s="101" customFormat="1" ht="26" customHeight="1" x14ac:dyDescent="0.25">
      <c r="B69" s="1257" t="s">
        <v>606</v>
      </c>
      <c r="C69" s="1258"/>
      <c r="D69" s="785">
        <v>68</v>
      </c>
      <c r="E69" s="781" t="s">
        <v>309</v>
      </c>
      <c r="G69" s="2"/>
      <c r="H69" s="2"/>
    </row>
    <row r="70" spans="2:29" s="101" customFormat="1" ht="28.5" customHeight="1" x14ac:dyDescent="0.25">
      <c r="B70" s="1257" t="s">
        <v>609</v>
      </c>
      <c r="C70" s="1258"/>
      <c r="D70" s="785">
        <v>100</v>
      </c>
      <c r="E70" s="781" t="s">
        <v>309</v>
      </c>
      <c r="G70" s="2"/>
      <c r="H70" s="2"/>
    </row>
    <row r="71" spans="2:29" s="101" customFormat="1" ht="24.5" customHeight="1" x14ac:dyDescent="0.25">
      <c r="B71" s="1257" t="s">
        <v>608</v>
      </c>
      <c r="C71" s="1258"/>
      <c r="D71" s="785">
        <v>200</v>
      </c>
      <c r="E71" s="781" t="s">
        <v>309</v>
      </c>
      <c r="G71" s="2"/>
      <c r="H71" s="2"/>
    </row>
    <row r="72" spans="2:29" s="101" customFormat="1" ht="26.5" customHeight="1" x14ac:dyDescent="0.35">
      <c r="B72" s="1257" t="s">
        <v>607</v>
      </c>
      <c r="C72" s="1258"/>
      <c r="D72" s="785">
        <v>190</v>
      </c>
      <c r="E72" s="781" t="s">
        <v>309</v>
      </c>
    </row>
    <row r="73" spans="2:29" s="101" customFormat="1" ht="15" customHeight="1" x14ac:dyDescent="0.35">
      <c r="B73" s="786" t="s">
        <v>610</v>
      </c>
      <c r="C73" s="787"/>
      <c r="D73" s="787"/>
      <c r="E73" s="788"/>
    </row>
    <row r="74" spans="2:29" s="101" customFormat="1" ht="25.5" customHeight="1" x14ac:dyDescent="0.35">
      <c r="B74" s="1325" t="s">
        <v>1052</v>
      </c>
      <c r="C74" s="1326"/>
      <c r="D74" s="780">
        <v>1.3</v>
      </c>
      <c r="E74" s="781" t="s">
        <v>159</v>
      </c>
    </row>
    <row r="75" spans="2:29" s="101" customFormat="1" ht="27.5" customHeight="1" x14ac:dyDescent="0.25">
      <c r="B75" s="1325" t="s">
        <v>1053</v>
      </c>
      <c r="C75" s="1326"/>
      <c r="D75" s="780">
        <v>0.5</v>
      </c>
      <c r="E75" s="781" t="s">
        <v>159</v>
      </c>
      <c r="AB75" s="2"/>
      <c r="AC75" s="2"/>
    </row>
    <row r="76" spans="2:29" s="101" customFormat="1" ht="29" customHeight="1" thickBot="1" x14ac:dyDescent="0.35">
      <c r="B76" s="1327" t="s">
        <v>1051</v>
      </c>
      <c r="C76" s="1328"/>
      <c r="D76" s="782">
        <v>2.04</v>
      </c>
      <c r="E76" s="783" t="s">
        <v>613</v>
      </c>
      <c r="AB76" s="316"/>
      <c r="AC76" s="316"/>
    </row>
    <row r="77" spans="2:29" ht="26" customHeight="1" x14ac:dyDescent="0.25">
      <c r="B77" s="1096" t="s">
        <v>614</v>
      </c>
      <c r="C77" s="1096"/>
      <c r="D77" s="1096"/>
      <c r="E77" s="1096"/>
    </row>
    <row r="78" spans="2:29" s="316" customFormat="1" ht="26.15" customHeight="1" x14ac:dyDescent="0.3">
      <c r="B78" s="1135" t="s">
        <v>626</v>
      </c>
      <c r="C78" s="1135"/>
      <c r="D78" s="1135"/>
      <c r="E78" s="1135"/>
    </row>
    <row r="79" spans="2:29" ht="23.15" customHeight="1" x14ac:dyDescent="0.25">
      <c r="B79" s="1096" t="s">
        <v>615</v>
      </c>
      <c r="C79" s="1096"/>
      <c r="D79" s="1096"/>
      <c r="E79" s="1096"/>
    </row>
    <row r="80" spans="2:29" s="316" customFormat="1" ht="23.15" customHeight="1" x14ac:dyDescent="0.3">
      <c r="B80" s="1135" t="s">
        <v>627</v>
      </c>
      <c r="C80" s="1135"/>
      <c r="D80" s="1135"/>
      <c r="E80" s="1135"/>
    </row>
    <row r="81" spans="2:29" ht="27" customHeight="1" x14ac:dyDescent="0.25">
      <c r="B81" s="1096" t="s">
        <v>616</v>
      </c>
      <c r="C81" s="1096"/>
      <c r="D81" s="1096"/>
      <c r="E81" s="1096"/>
    </row>
    <row r="82" spans="2:29" s="316" customFormat="1" ht="27" customHeight="1" x14ac:dyDescent="0.3">
      <c r="B82" s="1135" t="s">
        <v>625</v>
      </c>
      <c r="C82" s="1135"/>
      <c r="D82" s="1135"/>
      <c r="E82" s="1135"/>
    </row>
    <row r="83" spans="2:29" ht="24" customHeight="1" x14ac:dyDescent="0.25">
      <c r="B83" s="1096" t="s">
        <v>617</v>
      </c>
      <c r="C83" s="1096"/>
      <c r="D83" s="1096"/>
      <c r="E83" s="1096"/>
    </row>
    <row r="84" spans="2:29" s="316" customFormat="1" ht="24" customHeight="1" x14ac:dyDescent="0.3">
      <c r="B84" s="1135" t="s">
        <v>624</v>
      </c>
      <c r="C84" s="1135"/>
      <c r="D84" s="1135"/>
      <c r="E84" s="1135"/>
    </row>
    <row r="85" spans="2:29" ht="24" customHeight="1" x14ac:dyDescent="0.25">
      <c r="B85" s="1096" t="s">
        <v>618</v>
      </c>
      <c r="C85" s="1096"/>
      <c r="D85" s="1096"/>
      <c r="E85" s="1096"/>
    </row>
    <row r="86" spans="2:29" s="316" customFormat="1" ht="24" customHeight="1" x14ac:dyDescent="0.3">
      <c r="B86" s="1135" t="s">
        <v>623</v>
      </c>
      <c r="C86" s="1135"/>
      <c r="D86" s="1135"/>
      <c r="E86" s="1135"/>
    </row>
    <row r="87" spans="2:29" ht="24" customHeight="1" x14ac:dyDescent="0.25">
      <c r="B87" s="1096" t="s">
        <v>619</v>
      </c>
      <c r="C87" s="1096"/>
      <c r="D87" s="1096"/>
      <c r="E87" s="1096"/>
    </row>
    <row r="88" spans="2:29" s="316" customFormat="1" ht="24" customHeight="1" x14ac:dyDescent="0.3">
      <c r="B88" s="1135" t="s">
        <v>622</v>
      </c>
      <c r="C88" s="1135"/>
      <c r="D88" s="1135"/>
      <c r="E88" s="1135"/>
    </row>
    <row r="89" spans="2:29" ht="24" customHeight="1" x14ac:dyDescent="0.25">
      <c r="B89" s="1096" t="s">
        <v>620</v>
      </c>
      <c r="C89" s="1096"/>
      <c r="D89" s="1096"/>
      <c r="E89" s="1096"/>
    </row>
    <row r="90" spans="2:29" s="316" customFormat="1" ht="24" customHeight="1" x14ac:dyDescent="0.3">
      <c r="B90" s="1324" t="s">
        <v>621</v>
      </c>
      <c r="C90" s="1324"/>
      <c r="D90" s="1324"/>
      <c r="E90" s="1324"/>
      <c r="AB90" s="2"/>
      <c r="AC90" s="2"/>
    </row>
    <row r="92" spans="2:29" ht="15.5" x14ac:dyDescent="0.35">
      <c r="B92" s="94" t="s">
        <v>310</v>
      </c>
    </row>
    <row r="93" spans="2:29" ht="16" thickBot="1" x14ac:dyDescent="0.4">
      <c r="B93" s="754" t="s">
        <v>629</v>
      </c>
      <c r="C93" s="20"/>
      <c r="D93" s="20"/>
      <c r="E93" s="20"/>
    </row>
    <row r="94" spans="2:29" ht="15" x14ac:dyDescent="0.25">
      <c r="B94" s="1285" t="s">
        <v>602</v>
      </c>
      <c r="C94" s="1286"/>
      <c r="D94" s="449" t="s">
        <v>311</v>
      </c>
      <c r="E94" s="1289" t="s">
        <v>601</v>
      </c>
      <c r="F94" s="449" t="s">
        <v>312</v>
      </c>
      <c r="G94" s="1291" t="s">
        <v>601</v>
      </c>
    </row>
    <row r="95" spans="2:29" ht="16" x14ac:dyDescent="0.25">
      <c r="B95" s="1287"/>
      <c r="C95" s="1288"/>
      <c r="D95" s="103" t="s">
        <v>313</v>
      </c>
      <c r="E95" s="1290"/>
      <c r="F95" s="103" t="s">
        <v>314</v>
      </c>
      <c r="G95" s="1292"/>
    </row>
    <row r="96" spans="2:29" ht="13" x14ac:dyDescent="0.25">
      <c r="B96" s="1283" t="s">
        <v>600</v>
      </c>
      <c r="C96" s="1284"/>
      <c r="D96" s="801"/>
      <c r="E96" s="793"/>
      <c r="F96" s="793"/>
      <c r="G96" s="795"/>
    </row>
    <row r="97" spans="2:7" ht="29" customHeight="1" x14ac:dyDescent="0.25">
      <c r="B97" s="1318" t="s">
        <v>978</v>
      </c>
      <c r="C97" s="1319"/>
      <c r="D97" s="791">
        <v>3.55</v>
      </c>
      <c r="E97" s="792" t="s">
        <v>306</v>
      </c>
      <c r="F97" s="791">
        <v>0.188</v>
      </c>
      <c r="G97" s="796" t="s">
        <v>307</v>
      </c>
    </row>
    <row r="98" spans="2:7" ht="29" customHeight="1" x14ac:dyDescent="0.25">
      <c r="B98" s="1268" t="s">
        <v>979</v>
      </c>
      <c r="C98" s="1269"/>
      <c r="D98" s="791">
        <v>3.91</v>
      </c>
      <c r="E98" s="792" t="s">
        <v>309</v>
      </c>
      <c r="F98" s="791">
        <v>0.13</v>
      </c>
      <c r="G98" s="796" t="s">
        <v>309</v>
      </c>
    </row>
    <row r="99" spans="2:7" ht="30" customHeight="1" x14ac:dyDescent="0.25">
      <c r="B99" s="1325" t="s">
        <v>976</v>
      </c>
      <c r="C99" s="1332"/>
      <c r="D99" s="791">
        <v>2.86</v>
      </c>
      <c r="E99" s="785" t="s">
        <v>309</v>
      </c>
      <c r="F99" s="791">
        <v>0.17</v>
      </c>
      <c r="G99" s="796" t="s">
        <v>307</v>
      </c>
    </row>
    <row r="100" spans="2:7" ht="30" customHeight="1" x14ac:dyDescent="0.25">
      <c r="B100" s="1268" t="s">
        <v>980</v>
      </c>
      <c r="C100" s="1269"/>
      <c r="D100" s="791">
        <v>2.86</v>
      </c>
      <c r="E100" s="785" t="s">
        <v>309</v>
      </c>
      <c r="F100" s="791">
        <v>0.17</v>
      </c>
      <c r="G100" s="796" t="s">
        <v>307</v>
      </c>
    </row>
    <row r="101" spans="2:7" ht="28" customHeight="1" x14ac:dyDescent="0.25">
      <c r="B101" s="1268" t="s">
        <v>975</v>
      </c>
      <c r="C101" s="1269"/>
      <c r="D101" s="791">
        <v>3.87</v>
      </c>
      <c r="E101" s="785" t="s">
        <v>309</v>
      </c>
      <c r="F101" s="791">
        <v>0.13</v>
      </c>
      <c r="G101" s="796" t="s">
        <v>309</v>
      </c>
    </row>
    <row r="102" spans="2:7" ht="24.5" customHeight="1" x14ac:dyDescent="0.25">
      <c r="B102" s="1268" t="s">
        <v>603</v>
      </c>
      <c r="C102" s="1269"/>
      <c r="D102" s="791">
        <v>1.25</v>
      </c>
      <c r="E102" s="785" t="s">
        <v>309</v>
      </c>
      <c r="F102" s="791">
        <v>0.13</v>
      </c>
      <c r="G102" s="796" t="s">
        <v>309</v>
      </c>
    </row>
    <row r="103" spans="2:7" ht="24.5" customHeight="1" x14ac:dyDescent="0.25">
      <c r="B103" s="1268" t="s">
        <v>604</v>
      </c>
      <c r="C103" s="1269"/>
      <c r="D103" s="791">
        <v>0.52</v>
      </c>
      <c r="E103" s="792" t="s">
        <v>309</v>
      </c>
      <c r="F103" s="791">
        <v>0.13</v>
      </c>
      <c r="G103" s="796" t="s">
        <v>309</v>
      </c>
    </row>
    <row r="104" spans="2:7" ht="28" customHeight="1" x14ac:dyDescent="0.25">
      <c r="B104" s="1257" t="s">
        <v>977</v>
      </c>
      <c r="C104" s="1258"/>
      <c r="D104" s="791">
        <v>2.4900000000000002</v>
      </c>
      <c r="E104" s="792" t="s">
        <v>309</v>
      </c>
      <c r="F104" s="791">
        <v>0.13</v>
      </c>
      <c r="G104" s="796" t="s">
        <v>309</v>
      </c>
    </row>
    <row r="105" spans="2:7" ht="13" x14ac:dyDescent="0.25">
      <c r="B105" s="1333" t="s">
        <v>631</v>
      </c>
      <c r="C105" s="1334"/>
      <c r="D105" s="793"/>
      <c r="E105" s="793"/>
      <c r="F105" s="793"/>
      <c r="G105" s="795"/>
    </row>
    <row r="106" spans="2:7" ht="25.5" customHeight="1" x14ac:dyDescent="0.25">
      <c r="B106" s="1257" t="s">
        <v>605</v>
      </c>
      <c r="C106" s="1258"/>
      <c r="D106" s="785">
        <v>0.16600000000000001</v>
      </c>
      <c r="E106" s="784" t="s">
        <v>308</v>
      </c>
      <c r="F106" s="791">
        <v>0.28999999999999998</v>
      </c>
      <c r="G106" s="796" t="s">
        <v>309</v>
      </c>
    </row>
    <row r="107" spans="2:7" ht="25.5" customHeight="1" x14ac:dyDescent="0.25">
      <c r="B107" s="1257" t="s">
        <v>606</v>
      </c>
      <c r="C107" s="1258"/>
      <c r="D107" s="785">
        <v>0.40500000000000003</v>
      </c>
      <c r="E107" s="784" t="s">
        <v>308</v>
      </c>
      <c r="F107" s="791">
        <v>0.28999999999999998</v>
      </c>
      <c r="G107" s="796" t="s">
        <v>309</v>
      </c>
    </row>
    <row r="108" spans="2:7" ht="27.5" customHeight="1" x14ac:dyDescent="0.25">
      <c r="B108" s="1257" t="s">
        <v>609</v>
      </c>
      <c r="C108" s="1258"/>
      <c r="D108" s="785">
        <v>0.59599999999999997</v>
      </c>
      <c r="E108" s="784" t="s">
        <v>308</v>
      </c>
      <c r="F108" s="791">
        <v>0.28999999999999998</v>
      </c>
      <c r="G108" s="796" t="s">
        <v>309</v>
      </c>
    </row>
    <row r="109" spans="2:7" ht="27" customHeight="1" x14ac:dyDescent="0.25">
      <c r="B109" s="1257" t="s">
        <v>608</v>
      </c>
      <c r="C109" s="1258"/>
      <c r="D109" s="785">
        <v>1.1919999999999999</v>
      </c>
      <c r="E109" s="784" t="s">
        <v>308</v>
      </c>
      <c r="F109" s="791">
        <v>0.28999999999999998</v>
      </c>
      <c r="G109" s="796" t="s">
        <v>309</v>
      </c>
    </row>
    <row r="110" spans="2:7" ht="28.5" customHeight="1" x14ac:dyDescent="0.25">
      <c r="B110" s="1257" t="s">
        <v>607</v>
      </c>
      <c r="C110" s="1258"/>
      <c r="D110" s="785">
        <v>1.139</v>
      </c>
      <c r="E110" s="784" t="s">
        <v>308</v>
      </c>
      <c r="F110" s="791">
        <v>0.28999999999999998</v>
      </c>
      <c r="G110" s="796" t="s">
        <v>309</v>
      </c>
    </row>
    <row r="111" spans="2:7" ht="13" x14ac:dyDescent="0.25">
      <c r="B111" s="1333" t="s">
        <v>610</v>
      </c>
      <c r="C111" s="1334"/>
      <c r="D111" s="794"/>
      <c r="E111" s="794"/>
      <c r="F111" s="794"/>
      <c r="G111" s="797"/>
    </row>
    <row r="112" spans="2:7" ht="25" customHeight="1" x14ac:dyDescent="0.25">
      <c r="B112" s="1268" t="s">
        <v>611</v>
      </c>
      <c r="C112" s="1329"/>
      <c r="D112" s="780">
        <v>0.02</v>
      </c>
      <c r="E112" s="784" t="s">
        <v>309</v>
      </c>
      <c r="F112" s="791">
        <v>0.24</v>
      </c>
      <c r="G112" s="796" t="s">
        <v>309</v>
      </c>
    </row>
    <row r="113" spans="2:29" ht="27" customHeight="1" x14ac:dyDescent="0.25">
      <c r="B113" s="1268" t="s">
        <v>612</v>
      </c>
      <c r="C113" s="1329"/>
      <c r="D113" s="780">
        <v>0.01</v>
      </c>
      <c r="E113" s="784" t="s">
        <v>309</v>
      </c>
      <c r="F113" s="791">
        <v>0.24</v>
      </c>
      <c r="G113" s="796" t="s">
        <v>309</v>
      </c>
    </row>
    <row r="114" spans="2:29" ht="25.5" customHeight="1" thickBot="1" x14ac:dyDescent="0.3">
      <c r="B114" s="1330" t="s">
        <v>632</v>
      </c>
      <c r="C114" s="1331"/>
      <c r="D114" s="782">
        <v>0.04</v>
      </c>
      <c r="E114" s="798" t="s">
        <v>309</v>
      </c>
      <c r="F114" s="799">
        <v>0.24</v>
      </c>
      <c r="G114" s="800" t="s">
        <v>309</v>
      </c>
    </row>
    <row r="115" spans="2:29" ht="13" x14ac:dyDescent="0.3">
      <c r="B115" s="1197" t="s">
        <v>633</v>
      </c>
      <c r="C115" s="1197"/>
      <c r="D115" s="1197"/>
      <c r="E115" s="1197"/>
      <c r="F115" s="1197"/>
      <c r="G115" s="1197"/>
    </row>
    <row r="116" spans="2:29" ht="13" x14ac:dyDescent="0.3">
      <c r="B116" s="1324" t="s">
        <v>635</v>
      </c>
      <c r="C116" s="1324"/>
      <c r="D116" s="1324"/>
      <c r="E116" s="1324"/>
      <c r="F116" s="1324"/>
      <c r="G116" s="1324"/>
    </row>
    <row r="117" spans="2:29" ht="24.5" customHeight="1" x14ac:dyDescent="0.3">
      <c r="B117" s="1197" t="s">
        <v>634</v>
      </c>
      <c r="C117" s="1197"/>
      <c r="D117" s="1197"/>
      <c r="E117" s="1197"/>
      <c r="F117" s="1197"/>
      <c r="G117" s="1197"/>
    </row>
    <row r="118" spans="2:29" ht="25" customHeight="1" x14ac:dyDescent="0.3">
      <c r="B118" s="1197" t="s">
        <v>636</v>
      </c>
      <c r="C118" s="1197"/>
      <c r="D118" s="1197"/>
      <c r="E118" s="1197"/>
      <c r="F118" s="1197"/>
      <c r="G118" s="1197"/>
    </row>
    <row r="119" spans="2:29" ht="25" customHeight="1" x14ac:dyDescent="0.3">
      <c r="B119" s="1197" t="s">
        <v>637</v>
      </c>
      <c r="C119" s="1197"/>
      <c r="D119" s="1197"/>
      <c r="E119" s="1197"/>
      <c r="F119" s="1197"/>
      <c r="G119" s="1197"/>
    </row>
    <row r="120" spans="2:29" ht="25" customHeight="1" x14ac:dyDescent="0.3">
      <c r="B120" s="1197" t="s">
        <v>638</v>
      </c>
      <c r="C120" s="1197"/>
      <c r="D120" s="1197"/>
      <c r="E120" s="1197"/>
      <c r="F120" s="1197"/>
      <c r="G120" s="1197"/>
    </row>
    <row r="121" spans="2:29" ht="28" customHeight="1" x14ac:dyDescent="0.3">
      <c r="B121" s="1197" t="s">
        <v>639</v>
      </c>
      <c r="C121" s="1197"/>
      <c r="D121" s="1197"/>
      <c r="E121" s="1197"/>
      <c r="F121" s="1197"/>
      <c r="G121" s="1197"/>
    </row>
    <row r="122" spans="2:29" ht="29" customHeight="1" x14ac:dyDescent="0.3">
      <c r="B122" s="1197" t="s">
        <v>640</v>
      </c>
      <c r="C122" s="1197"/>
      <c r="D122" s="1197"/>
      <c r="E122" s="1197"/>
      <c r="F122" s="1197"/>
      <c r="G122" s="1197"/>
    </row>
    <row r="123" spans="2:29" ht="12" customHeight="1" x14ac:dyDescent="0.3">
      <c r="B123" s="1197"/>
      <c r="C123" s="1197"/>
      <c r="D123" s="1197"/>
      <c r="E123" s="1197"/>
      <c r="F123" s="1197"/>
      <c r="G123" s="1197"/>
    </row>
    <row r="124" spans="2:29" ht="13" x14ac:dyDescent="0.3">
      <c r="B124" s="9"/>
    </row>
    <row r="125" spans="2:29" ht="15.5" x14ac:dyDescent="0.35">
      <c r="B125" s="94" t="s">
        <v>1056</v>
      </c>
    </row>
    <row r="126" spans="2:29" ht="15.5" x14ac:dyDescent="0.35">
      <c r="B126" s="94"/>
    </row>
    <row r="127" spans="2:29" ht="13" x14ac:dyDescent="0.25">
      <c r="B127" s="2" t="s">
        <v>1055</v>
      </c>
      <c r="AB127" s="104"/>
      <c r="AC127" s="104"/>
    </row>
    <row r="128" spans="2:29" ht="13.5" thickBot="1" x14ac:dyDescent="0.35">
      <c r="B128" s="9"/>
      <c r="AB128" s="104"/>
      <c r="AC128" s="104"/>
    </row>
    <row r="129" spans="2:29" s="104" customFormat="1" ht="30.5" customHeight="1" thickBot="1" x14ac:dyDescent="0.4">
      <c r="B129" s="1349" t="s">
        <v>650</v>
      </c>
      <c r="C129" s="1350"/>
      <c r="D129" s="1350"/>
      <c r="E129" s="1350"/>
      <c r="F129" s="1350"/>
      <c r="G129" s="1350"/>
      <c r="H129" s="1350"/>
      <c r="I129" s="1350"/>
      <c r="J129" s="1350"/>
      <c r="K129" s="1350"/>
      <c r="L129" s="1350"/>
      <c r="M129" s="1350"/>
      <c r="N129" s="1350"/>
      <c r="O129" s="1350"/>
      <c r="P129" s="1350"/>
      <c r="Q129" s="1350"/>
      <c r="R129" s="1351"/>
      <c r="S129"/>
      <c r="T129"/>
      <c r="U129"/>
      <c r="V129"/>
    </row>
    <row r="130" spans="2:29" s="104" customFormat="1" ht="25.5" customHeight="1" x14ac:dyDescent="0.35">
      <c r="B130" s="1335" t="s">
        <v>668</v>
      </c>
      <c r="C130" s="1336"/>
      <c r="D130" s="1341" t="s">
        <v>651</v>
      </c>
      <c r="E130" s="1342"/>
      <c r="F130" s="1342"/>
      <c r="G130" s="1342"/>
      <c r="H130" s="1342"/>
      <c r="I130" s="1342"/>
      <c r="J130" s="1342"/>
      <c r="K130" s="1342"/>
      <c r="L130" s="1342"/>
      <c r="M130" s="1342"/>
      <c r="N130" s="1341" t="s">
        <v>667</v>
      </c>
      <c r="O130" s="1341"/>
      <c r="P130" s="1341"/>
      <c r="Q130" s="1341"/>
      <c r="R130" s="1345"/>
      <c r="S130"/>
      <c r="T130"/>
      <c r="U130"/>
      <c r="V130"/>
      <c r="AB130" s="105"/>
      <c r="AC130" s="105"/>
    </row>
    <row r="131" spans="2:29" s="104" customFormat="1" ht="35.5" customHeight="1" x14ac:dyDescent="0.35">
      <c r="B131" s="1337"/>
      <c r="C131" s="1338"/>
      <c r="D131" s="1343" t="s">
        <v>652</v>
      </c>
      <c r="E131" s="1344"/>
      <c r="F131" s="1344"/>
      <c r="G131" s="1344"/>
      <c r="H131" s="1343" t="s">
        <v>653</v>
      </c>
      <c r="I131" s="1344"/>
      <c r="J131" s="1343" t="s">
        <v>654</v>
      </c>
      <c r="K131" s="1344"/>
      <c r="L131" s="1344"/>
      <c r="M131" s="1344"/>
      <c r="N131" s="1343"/>
      <c r="O131" s="1343"/>
      <c r="P131" s="1343"/>
      <c r="Q131" s="1343"/>
      <c r="R131" s="1346"/>
      <c r="S131"/>
      <c r="T131"/>
      <c r="U131"/>
      <c r="V131"/>
      <c r="AB131" s="101"/>
      <c r="AC131" s="101"/>
    </row>
    <row r="132" spans="2:29" s="105" customFormat="1" ht="28" customHeight="1" x14ac:dyDescent="0.35">
      <c r="B132" s="1337"/>
      <c r="C132" s="1338"/>
      <c r="D132" s="805" t="s">
        <v>669</v>
      </c>
      <c r="E132" s="805" t="s">
        <v>663</v>
      </c>
      <c r="F132" s="805" t="s">
        <v>645</v>
      </c>
      <c r="G132" s="805" t="s">
        <v>649</v>
      </c>
      <c r="H132" s="805" t="s">
        <v>662</v>
      </c>
      <c r="I132" s="805" t="s">
        <v>661</v>
      </c>
      <c r="J132" s="806" t="s">
        <v>664</v>
      </c>
      <c r="K132" s="805" t="s">
        <v>665</v>
      </c>
      <c r="L132" s="805" t="s">
        <v>665</v>
      </c>
      <c r="M132" s="805" t="s">
        <v>666</v>
      </c>
      <c r="N132" s="1343"/>
      <c r="O132" s="1343"/>
      <c r="P132" s="1343"/>
      <c r="Q132" s="1343"/>
      <c r="R132" s="1346"/>
      <c r="S132"/>
      <c r="T132"/>
      <c r="U132"/>
      <c r="V132"/>
      <c r="AB132" s="101"/>
      <c r="AC132" s="101"/>
    </row>
    <row r="133" spans="2:29" s="101" customFormat="1" ht="28" customHeight="1" thickBot="1" x14ac:dyDescent="0.4">
      <c r="B133" s="1339"/>
      <c r="C133" s="1340"/>
      <c r="D133" s="814" t="s">
        <v>644</v>
      </c>
      <c r="E133" s="814" t="s">
        <v>647</v>
      </c>
      <c r="F133" s="814" t="s">
        <v>646</v>
      </c>
      <c r="G133" s="814" t="s">
        <v>648</v>
      </c>
      <c r="H133" s="814" t="s">
        <v>655</v>
      </c>
      <c r="I133" s="814" t="s">
        <v>656</v>
      </c>
      <c r="J133" s="814" t="s">
        <v>657</v>
      </c>
      <c r="K133" s="814" t="s">
        <v>658</v>
      </c>
      <c r="L133" s="814" t="s">
        <v>659</v>
      </c>
      <c r="M133" s="814" t="s">
        <v>660</v>
      </c>
      <c r="N133" s="1347"/>
      <c r="O133" s="1347"/>
      <c r="P133" s="1347"/>
      <c r="Q133" s="1347"/>
      <c r="R133" s="1348"/>
      <c r="S133"/>
      <c r="T133"/>
      <c r="U133"/>
      <c r="V133"/>
    </row>
    <row r="134" spans="2:29" s="101" customFormat="1" ht="157" customHeight="1" thickBot="1" x14ac:dyDescent="0.4">
      <c r="B134" s="1370" t="s">
        <v>643</v>
      </c>
      <c r="C134" s="1371"/>
      <c r="D134" s="1354">
        <v>4.7000000000000002E-3</v>
      </c>
      <c r="E134" s="1354"/>
      <c r="F134" s="1354"/>
      <c r="G134" s="1354"/>
      <c r="H134" s="1354"/>
      <c r="I134" s="1354"/>
      <c r="J134" s="1354"/>
      <c r="K134" s="1354"/>
      <c r="L134" s="1354"/>
      <c r="M134" s="1354"/>
      <c r="N134" s="1371" t="s">
        <v>670</v>
      </c>
      <c r="O134" s="1371"/>
      <c r="P134" s="1371"/>
      <c r="Q134" s="1371"/>
      <c r="R134" s="1379"/>
      <c r="S134"/>
      <c r="T134"/>
      <c r="U134"/>
      <c r="V134"/>
    </row>
    <row r="135" spans="2:29" s="101" customFormat="1" ht="21.5" customHeight="1" thickBot="1" x14ac:dyDescent="0.4">
      <c r="B135" s="1293" t="s">
        <v>671</v>
      </c>
      <c r="C135" s="1294"/>
      <c r="D135" s="1352">
        <v>1E-3</v>
      </c>
      <c r="E135" s="1352"/>
      <c r="F135" s="1352"/>
      <c r="G135" s="1352"/>
      <c r="H135" s="1353">
        <v>5.0000000000000001E-3</v>
      </c>
      <c r="I135" s="1353"/>
      <c r="J135" s="1353">
        <v>0.01</v>
      </c>
      <c r="K135" s="1353"/>
      <c r="L135" s="1353"/>
      <c r="M135" s="1353"/>
      <c r="N135" s="1294" t="s">
        <v>641</v>
      </c>
      <c r="O135" s="1294"/>
      <c r="P135" s="1294"/>
      <c r="Q135" s="1294"/>
      <c r="R135" s="1378"/>
      <c r="S135"/>
      <c r="T135"/>
      <c r="U135"/>
      <c r="V135"/>
      <c r="AB135" s="106"/>
      <c r="AC135" s="106"/>
    </row>
    <row r="136" spans="2:29" s="101" customFormat="1" ht="191.5" customHeight="1" thickBot="1" x14ac:dyDescent="0.4">
      <c r="B136" s="1293" t="s">
        <v>672</v>
      </c>
      <c r="C136" s="1294"/>
      <c r="D136" s="1352">
        <v>0.02</v>
      </c>
      <c r="E136" s="1352"/>
      <c r="F136" s="1352"/>
      <c r="G136" s="1352"/>
      <c r="H136" s="1353">
        <v>0.04</v>
      </c>
      <c r="I136" s="1353"/>
      <c r="J136" s="1353">
        <v>0.05</v>
      </c>
      <c r="K136" s="1353"/>
      <c r="L136" s="1353"/>
      <c r="M136" s="1353"/>
      <c r="N136" s="1373" t="s">
        <v>673</v>
      </c>
      <c r="O136" s="1373"/>
      <c r="P136" s="1373"/>
      <c r="Q136" s="1373"/>
      <c r="R136" s="1377"/>
      <c r="S136"/>
      <c r="T136"/>
      <c r="U136"/>
      <c r="V136"/>
      <c r="AB136" s="106"/>
      <c r="AC136" s="106"/>
    </row>
    <row r="137" spans="2:29" s="106" customFormat="1" ht="173.5" customHeight="1" thickBot="1" x14ac:dyDescent="0.4">
      <c r="B137" s="1293" t="s">
        <v>674</v>
      </c>
      <c r="C137" s="1294"/>
      <c r="D137" s="1352">
        <v>0.02</v>
      </c>
      <c r="E137" s="1352"/>
      <c r="F137" s="1352"/>
      <c r="G137" s="1352"/>
      <c r="H137" s="1353">
        <v>0.04</v>
      </c>
      <c r="I137" s="1353"/>
      <c r="J137" s="1353">
        <v>0.05</v>
      </c>
      <c r="K137" s="1353"/>
      <c r="L137" s="1353"/>
      <c r="M137" s="1353"/>
      <c r="N137" s="1373" t="s">
        <v>675</v>
      </c>
      <c r="O137" s="1373"/>
      <c r="P137" s="1373"/>
      <c r="Q137" s="1373"/>
      <c r="R137" s="1377"/>
      <c r="S137"/>
      <c r="T137"/>
      <c r="U137"/>
      <c r="V137"/>
    </row>
    <row r="138" spans="2:29" s="106" customFormat="1" ht="179" customHeight="1" thickBot="1" x14ac:dyDescent="0.4">
      <c r="B138" s="1293" t="s">
        <v>676</v>
      </c>
      <c r="C138" s="1294"/>
      <c r="D138" s="1352">
        <v>5.0000000000000001E-3</v>
      </c>
      <c r="E138" s="1352"/>
      <c r="F138" s="1352"/>
      <c r="G138" s="1352"/>
      <c r="H138" s="1353">
        <v>0.01</v>
      </c>
      <c r="I138" s="1353"/>
      <c r="J138" s="1353">
        <v>1.4999999999999999E-2</v>
      </c>
      <c r="K138" s="1353"/>
      <c r="L138" s="1353"/>
      <c r="M138" s="1353"/>
      <c r="N138" s="1373" t="s">
        <v>677</v>
      </c>
      <c r="O138" s="1373"/>
      <c r="P138" s="1373"/>
      <c r="Q138" s="1373"/>
      <c r="R138" s="1377"/>
      <c r="S138"/>
      <c r="T138"/>
      <c r="U138"/>
      <c r="V138"/>
    </row>
    <row r="139" spans="2:29" s="106" customFormat="1" ht="181.5" customHeight="1" thickBot="1" x14ac:dyDescent="0.4">
      <c r="B139" s="1293" t="s">
        <v>678</v>
      </c>
      <c r="C139" s="1294"/>
      <c r="D139" s="1352">
        <v>0.01</v>
      </c>
      <c r="E139" s="1352"/>
      <c r="F139" s="1352"/>
      <c r="G139" s="1352"/>
      <c r="H139" s="1353">
        <v>0.02</v>
      </c>
      <c r="I139" s="1353"/>
      <c r="J139" s="1353">
        <v>2.5000000000000001E-2</v>
      </c>
      <c r="K139" s="1353"/>
      <c r="L139" s="1353"/>
      <c r="M139" s="1353"/>
      <c r="N139" s="1367" t="s">
        <v>679</v>
      </c>
      <c r="O139" s="1367"/>
      <c r="P139" s="1367"/>
      <c r="Q139" s="1367"/>
      <c r="R139" s="1368"/>
      <c r="S139"/>
      <c r="T139"/>
      <c r="U139"/>
      <c r="V139"/>
    </row>
    <row r="140" spans="2:29" s="106" customFormat="1" ht="91" customHeight="1" thickBot="1" x14ac:dyDescent="0.4">
      <c r="B140" s="1355" t="s">
        <v>680</v>
      </c>
      <c r="C140" s="1356"/>
      <c r="D140" s="1357">
        <v>1.4999999999999999E-2</v>
      </c>
      <c r="E140" s="1357"/>
      <c r="F140" s="1357"/>
      <c r="G140" s="1357"/>
      <c r="H140" s="1357"/>
      <c r="I140" s="1357"/>
      <c r="J140" s="1357"/>
      <c r="K140" s="1357"/>
      <c r="L140" s="1357"/>
      <c r="M140" s="1357"/>
      <c r="N140" s="1380" t="s">
        <v>681</v>
      </c>
      <c r="O140" s="1380"/>
      <c r="P140" s="1380"/>
      <c r="Q140" s="1380"/>
      <c r="R140" s="1381"/>
      <c r="S140"/>
      <c r="T140"/>
      <c r="U140"/>
      <c r="V140"/>
    </row>
    <row r="141" spans="2:29" s="106" customFormat="1" ht="169" customHeight="1" thickBot="1" x14ac:dyDescent="0.4">
      <c r="B141" s="1293" t="s">
        <v>682</v>
      </c>
      <c r="C141" s="1294"/>
      <c r="D141" s="1352">
        <v>0</v>
      </c>
      <c r="E141" s="1352"/>
      <c r="F141" s="1352"/>
      <c r="G141" s="1352"/>
      <c r="H141" s="1352"/>
      <c r="I141" s="1352"/>
      <c r="J141" s="1352"/>
      <c r="K141" s="1352"/>
      <c r="L141" s="1352"/>
      <c r="M141" s="1352"/>
      <c r="N141" s="1367" t="s">
        <v>683</v>
      </c>
      <c r="O141" s="1367"/>
      <c r="P141" s="1367"/>
      <c r="Q141" s="1367"/>
      <c r="R141" s="1368"/>
      <c r="S141"/>
      <c r="T141"/>
      <c r="U141"/>
      <c r="V141"/>
    </row>
    <row r="142" spans="2:29" s="106" customFormat="1" ht="64" customHeight="1" thickBot="1" x14ac:dyDescent="0.4">
      <c r="B142" s="1293" t="s">
        <v>684</v>
      </c>
      <c r="C142" s="1294"/>
      <c r="D142" s="1352">
        <v>0.01</v>
      </c>
      <c r="E142" s="1352"/>
      <c r="F142" s="1352"/>
      <c r="G142" s="1352"/>
      <c r="H142" s="1353">
        <v>1.4999999999999999E-2</v>
      </c>
      <c r="I142" s="1353"/>
      <c r="J142" s="1353">
        <v>0.05</v>
      </c>
      <c r="K142" s="1353"/>
      <c r="L142" s="1353"/>
      <c r="M142" s="1353"/>
      <c r="N142" s="1367" t="s">
        <v>685</v>
      </c>
      <c r="O142" s="1367"/>
      <c r="P142" s="1367"/>
      <c r="Q142" s="1367"/>
      <c r="R142" s="1368"/>
      <c r="S142"/>
      <c r="T142"/>
      <c r="U142"/>
      <c r="V142"/>
    </row>
    <row r="143" spans="2:29" s="106" customFormat="1" ht="75" customHeight="1" x14ac:dyDescent="0.35">
      <c r="B143" s="1358" t="s">
        <v>686</v>
      </c>
      <c r="C143" s="815" t="s">
        <v>689</v>
      </c>
      <c r="D143" s="816">
        <v>0.06</v>
      </c>
      <c r="E143" s="817">
        <v>0.08</v>
      </c>
      <c r="F143" s="817">
        <v>0.04</v>
      </c>
      <c r="G143" s="817">
        <v>0.04</v>
      </c>
      <c r="H143" s="817">
        <v>0.13</v>
      </c>
      <c r="I143" s="817">
        <v>0.15</v>
      </c>
      <c r="J143" s="817">
        <v>0.25</v>
      </c>
      <c r="K143" s="817">
        <v>0.38</v>
      </c>
      <c r="L143" s="817">
        <v>0.36</v>
      </c>
      <c r="M143" s="817">
        <v>0.42</v>
      </c>
      <c r="N143" s="1361" t="s">
        <v>692</v>
      </c>
      <c r="O143" s="1361"/>
      <c r="P143" s="1361"/>
      <c r="Q143" s="1361"/>
      <c r="R143" s="1362"/>
      <c r="S143"/>
      <c r="T143"/>
      <c r="U143"/>
      <c r="V143"/>
    </row>
    <row r="144" spans="2:29" s="106" customFormat="1" ht="75" customHeight="1" x14ac:dyDescent="0.35">
      <c r="B144" s="1359"/>
      <c r="C144" s="808" t="s">
        <v>688</v>
      </c>
      <c r="D144" s="809">
        <v>0.12</v>
      </c>
      <c r="E144" s="810">
        <v>0.16</v>
      </c>
      <c r="F144" s="810">
        <v>0.08</v>
      </c>
      <c r="G144" s="810">
        <v>0.08</v>
      </c>
      <c r="H144" s="810">
        <v>0.24</v>
      </c>
      <c r="I144" s="810">
        <v>0.28000000000000003</v>
      </c>
      <c r="J144" s="810">
        <v>0.43</v>
      </c>
      <c r="K144" s="810">
        <v>0.61</v>
      </c>
      <c r="L144" s="810">
        <v>0.56999999999999995</v>
      </c>
      <c r="M144" s="810">
        <v>0.62</v>
      </c>
      <c r="N144" s="1363"/>
      <c r="O144" s="1363"/>
      <c r="P144" s="1363"/>
      <c r="Q144" s="1363"/>
      <c r="R144" s="1364"/>
      <c r="S144"/>
      <c r="T144"/>
      <c r="U144"/>
      <c r="V144"/>
    </row>
    <row r="145" spans="2:29" s="106" customFormat="1" ht="75" customHeight="1" x14ac:dyDescent="0.35">
      <c r="B145" s="1359"/>
      <c r="C145" s="808" t="s">
        <v>687</v>
      </c>
      <c r="D145" s="809">
        <v>0.15</v>
      </c>
      <c r="E145" s="810">
        <v>0.19</v>
      </c>
      <c r="F145" s="810">
        <v>0.09</v>
      </c>
      <c r="G145" s="810">
        <v>0.09</v>
      </c>
      <c r="H145" s="810">
        <v>0.28999999999999998</v>
      </c>
      <c r="I145" s="810">
        <v>0.32</v>
      </c>
      <c r="J145" s="810">
        <v>0.5</v>
      </c>
      <c r="K145" s="810">
        <v>0.67</v>
      </c>
      <c r="L145" s="810">
        <v>0.64</v>
      </c>
      <c r="M145" s="810">
        <v>0.68</v>
      </c>
      <c r="N145" s="1363"/>
      <c r="O145" s="1363"/>
      <c r="P145" s="1363"/>
      <c r="Q145" s="1363"/>
      <c r="R145" s="1364"/>
      <c r="S145"/>
      <c r="T145"/>
      <c r="U145"/>
      <c r="V145"/>
    </row>
    <row r="146" spans="2:29" s="106" customFormat="1" ht="75" customHeight="1" x14ac:dyDescent="0.35">
      <c r="B146" s="1359"/>
      <c r="C146" s="808" t="s">
        <v>690</v>
      </c>
      <c r="D146" s="809">
        <v>0.21</v>
      </c>
      <c r="E146" s="810">
        <v>0.26</v>
      </c>
      <c r="F146" s="810">
        <v>0.14000000000000001</v>
      </c>
      <c r="G146" s="810">
        <v>0.14000000000000001</v>
      </c>
      <c r="H146" s="810">
        <v>0.37</v>
      </c>
      <c r="I146" s="810">
        <v>0.41</v>
      </c>
      <c r="J146" s="810">
        <v>0.59</v>
      </c>
      <c r="K146" s="810">
        <v>0.76</v>
      </c>
      <c r="L146" s="810">
        <v>0.73</v>
      </c>
      <c r="M146" s="810">
        <v>0.74</v>
      </c>
      <c r="N146" s="1363"/>
      <c r="O146" s="1363"/>
      <c r="P146" s="1363"/>
      <c r="Q146" s="1363"/>
      <c r="R146" s="1364"/>
      <c r="S146"/>
      <c r="T146"/>
      <c r="U146"/>
      <c r="V146"/>
      <c r="AB146" s="2"/>
      <c r="AC146" s="2"/>
    </row>
    <row r="147" spans="2:29" s="106" customFormat="1" ht="75" customHeight="1" thickBot="1" x14ac:dyDescent="0.3">
      <c r="B147" s="1360"/>
      <c r="C147" s="818" t="s">
        <v>691</v>
      </c>
      <c r="D147" s="819">
        <v>0.31</v>
      </c>
      <c r="E147" s="820">
        <v>0.42</v>
      </c>
      <c r="F147" s="820">
        <v>0.21</v>
      </c>
      <c r="G147" s="820">
        <v>0.2</v>
      </c>
      <c r="H147" s="820">
        <v>0.55000000000000004</v>
      </c>
      <c r="I147" s="820">
        <v>0.64</v>
      </c>
      <c r="J147" s="820">
        <v>0.73</v>
      </c>
      <c r="K147" s="820">
        <v>0.8</v>
      </c>
      <c r="L147" s="820">
        <v>0.8</v>
      </c>
      <c r="M147" s="820">
        <v>0.8</v>
      </c>
      <c r="N147" s="1365"/>
      <c r="O147" s="1365"/>
      <c r="P147" s="1365"/>
      <c r="Q147" s="1365"/>
      <c r="R147" s="1366"/>
      <c r="S147" s="705"/>
      <c r="T147" s="705"/>
      <c r="U147" s="705"/>
      <c r="V147" s="705"/>
      <c r="AB147" s="2"/>
      <c r="AC147" s="2"/>
    </row>
    <row r="148" spans="2:29" ht="144" customHeight="1" thickBot="1" x14ac:dyDescent="0.3">
      <c r="B148" s="1293" t="s">
        <v>693</v>
      </c>
      <c r="C148" s="1294"/>
      <c r="D148" s="821">
        <v>0.6</v>
      </c>
      <c r="E148" s="822">
        <v>0.56999999999999995</v>
      </c>
      <c r="F148" s="822">
        <v>0.5</v>
      </c>
      <c r="G148" s="822">
        <v>0.49</v>
      </c>
      <c r="H148" s="822">
        <v>0.73</v>
      </c>
      <c r="I148" s="822">
        <v>0.76</v>
      </c>
      <c r="J148" s="822">
        <v>0.76</v>
      </c>
      <c r="K148" s="822">
        <v>0.8</v>
      </c>
      <c r="L148" s="822">
        <v>0.8</v>
      </c>
      <c r="M148" s="822">
        <v>0.8</v>
      </c>
      <c r="N148" s="1367" t="s">
        <v>694</v>
      </c>
      <c r="O148" s="1367"/>
      <c r="P148" s="1367"/>
      <c r="Q148" s="1367"/>
      <c r="R148" s="1368"/>
    </row>
    <row r="149" spans="2:29" ht="12.5" customHeight="1" x14ac:dyDescent="0.25">
      <c r="B149" s="1295" t="s">
        <v>700</v>
      </c>
      <c r="C149" s="1382" t="s">
        <v>695</v>
      </c>
      <c r="D149" s="1298">
        <v>0.01</v>
      </c>
      <c r="E149" s="1298"/>
      <c r="F149" s="1298"/>
      <c r="G149" s="1298"/>
      <c r="H149" s="1298"/>
      <c r="I149" s="1298"/>
      <c r="J149" s="1298"/>
      <c r="K149" s="1298"/>
      <c r="L149" s="1298"/>
      <c r="M149" s="1298"/>
      <c r="N149" s="1386" t="s">
        <v>699</v>
      </c>
      <c r="O149" s="1386"/>
      <c r="P149" s="1386"/>
      <c r="Q149" s="1386"/>
      <c r="R149" s="1387"/>
    </row>
    <row r="150" spans="2:29" ht="15.5" customHeight="1" x14ac:dyDescent="0.3">
      <c r="B150" s="1296"/>
      <c r="C150" s="1363"/>
      <c r="D150" s="1299"/>
      <c r="E150" s="1299"/>
      <c r="F150" s="1299"/>
      <c r="G150" s="1299"/>
      <c r="H150" s="1299"/>
      <c r="I150" s="1299"/>
      <c r="J150" s="1299"/>
      <c r="K150" s="1299"/>
      <c r="L150" s="1299"/>
      <c r="M150" s="1299"/>
      <c r="N150" s="1388"/>
      <c r="O150" s="1388"/>
      <c r="P150" s="1388"/>
      <c r="Q150" s="1388"/>
      <c r="R150" s="1389"/>
      <c r="S150" s="9"/>
      <c r="T150" s="9"/>
      <c r="U150" s="9"/>
      <c r="V150" s="9"/>
      <c r="W150" s="20"/>
      <c r="AB150" s="101"/>
      <c r="AC150" s="101"/>
    </row>
    <row r="151" spans="2:29" ht="15.5" customHeight="1" x14ac:dyDescent="0.3">
      <c r="B151" s="1296"/>
      <c r="C151" s="1363"/>
      <c r="D151" s="1299"/>
      <c r="E151" s="1299"/>
      <c r="F151" s="1299"/>
      <c r="G151" s="1299"/>
      <c r="H151" s="1299"/>
      <c r="I151" s="1299"/>
      <c r="J151" s="1299"/>
      <c r="K151" s="1299"/>
      <c r="L151" s="1299"/>
      <c r="M151" s="1299"/>
      <c r="N151" s="1388"/>
      <c r="O151" s="1388"/>
      <c r="P151" s="1388"/>
      <c r="Q151" s="1388"/>
      <c r="R151" s="1389"/>
      <c r="S151" s="9"/>
      <c r="T151" s="9"/>
      <c r="U151" s="9"/>
      <c r="V151" s="9"/>
      <c r="W151" s="20"/>
      <c r="AB151" s="101"/>
      <c r="AC151" s="101"/>
    </row>
    <row r="152" spans="2:29" s="101" customFormat="1" ht="32" customHeight="1" x14ac:dyDescent="0.35">
      <c r="B152" s="1296"/>
      <c r="C152" s="1392" t="s">
        <v>696</v>
      </c>
      <c r="D152" s="1299"/>
      <c r="E152" s="1299"/>
      <c r="F152" s="1299"/>
      <c r="G152" s="1299"/>
      <c r="H152" s="1299"/>
      <c r="I152" s="1299"/>
      <c r="J152" s="1299"/>
      <c r="K152" s="1299"/>
      <c r="L152" s="1299"/>
      <c r="M152" s="1299"/>
      <c r="N152" s="1388"/>
      <c r="O152" s="1388"/>
      <c r="P152" s="1388"/>
      <c r="Q152" s="1388"/>
      <c r="R152" s="1389"/>
    </row>
    <row r="153" spans="2:29" s="101" customFormat="1" ht="4" customHeight="1" x14ac:dyDescent="0.35">
      <c r="B153" s="1296"/>
      <c r="C153" s="1392"/>
      <c r="D153" s="1299"/>
      <c r="E153" s="1299"/>
      <c r="F153" s="1299"/>
      <c r="G153" s="1299"/>
      <c r="H153" s="1299"/>
      <c r="I153" s="1299"/>
      <c r="J153" s="1299"/>
      <c r="K153" s="1299"/>
      <c r="L153" s="1299"/>
      <c r="M153" s="1299"/>
      <c r="N153" s="1388"/>
      <c r="O153" s="1388"/>
      <c r="P153" s="1388"/>
      <c r="Q153" s="1388"/>
      <c r="R153" s="1389"/>
    </row>
    <row r="154" spans="2:29" s="101" customFormat="1" ht="38.5" customHeight="1" x14ac:dyDescent="0.35">
      <c r="B154" s="1296"/>
      <c r="C154" s="808" t="s">
        <v>697</v>
      </c>
      <c r="D154" s="1299">
        <v>1.4E-2</v>
      </c>
      <c r="E154" s="1299"/>
      <c r="F154" s="1299"/>
      <c r="G154" s="1299"/>
      <c r="H154" s="1299"/>
      <c r="I154" s="1299"/>
      <c r="J154" s="1299"/>
      <c r="K154" s="1299"/>
      <c r="L154" s="1299"/>
      <c r="M154" s="1299"/>
      <c r="N154" s="1388"/>
      <c r="O154" s="1388"/>
      <c r="P154" s="1388"/>
      <c r="Q154" s="1388"/>
      <c r="R154" s="1389"/>
    </row>
    <row r="155" spans="2:29" s="101" customFormat="1" ht="44.5" customHeight="1" x14ac:dyDescent="0.35">
      <c r="B155" s="1296"/>
      <c r="C155" s="811" t="s">
        <v>698</v>
      </c>
      <c r="D155" s="1299"/>
      <c r="E155" s="1299"/>
      <c r="F155" s="1299"/>
      <c r="G155" s="1299"/>
      <c r="H155" s="1299"/>
      <c r="I155" s="1299"/>
      <c r="J155" s="1299"/>
      <c r="K155" s="1299"/>
      <c r="L155" s="1299"/>
      <c r="M155" s="1299"/>
      <c r="N155" s="1388"/>
      <c r="O155" s="1388"/>
      <c r="P155" s="1388"/>
      <c r="Q155" s="1388"/>
      <c r="R155" s="1389"/>
    </row>
    <row r="156" spans="2:29" s="101" customFormat="1" ht="32.5" customHeight="1" x14ac:dyDescent="0.35">
      <c r="B156" s="1296"/>
      <c r="C156" s="808" t="s">
        <v>701</v>
      </c>
      <c r="D156" s="1300">
        <v>3.5499999999999997E-2</v>
      </c>
      <c r="E156" s="1300"/>
      <c r="F156" s="1300"/>
      <c r="G156" s="1300"/>
      <c r="H156" s="1300">
        <v>4.3799999999999999E-2</v>
      </c>
      <c r="I156" s="1300"/>
      <c r="J156" s="1300">
        <v>4.5900000000000003E-2</v>
      </c>
      <c r="K156" s="1300"/>
      <c r="L156" s="1300"/>
      <c r="M156" s="1300"/>
      <c r="N156" s="1388"/>
      <c r="O156" s="1388"/>
      <c r="P156" s="1388"/>
      <c r="Q156" s="1388"/>
      <c r="R156" s="1389"/>
    </row>
    <row r="157" spans="2:29" s="101" customFormat="1" ht="12" customHeight="1" x14ac:dyDescent="0.35">
      <c r="B157" s="1296"/>
      <c r="C157" s="1392" t="s">
        <v>702</v>
      </c>
      <c r="D157" s="1300"/>
      <c r="E157" s="1300"/>
      <c r="F157" s="1300"/>
      <c r="G157" s="1300"/>
      <c r="H157" s="1300"/>
      <c r="I157" s="1300"/>
      <c r="J157" s="1300"/>
      <c r="K157" s="1300"/>
      <c r="L157" s="1300"/>
      <c r="M157" s="1300"/>
      <c r="N157" s="1388"/>
      <c r="O157" s="1388"/>
      <c r="P157" s="1388"/>
      <c r="Q157" s="1388"/>
      <c r="R157" s="1389"/>
    </row>
    <row r="158" spans="2:29" s="101" customFormat="1" ht="12" customHeight="1" x14ac:dyDescent="0.35">
      <c r="B158" s="1296"/>
      <c r="C158" s="1392"/>
      <c r="D158" s="1300"/>
      <c r="E158" s="1300"/>
      <c r="F158" s="1300"/>
      <c r="G158" s="1300"/>
      <c r="H158" s="1300"/>
      <c r="I158" s="1300"/>
      <c r="J158" s="1300"/>
      <c r="K158" s="1300"/>
      <c r="L158" s="1300"/>
      <c r="M158" s="1300"/>
      <c r="N158" s="1388"/>
      <c r="O158" s="1388"/>
      <c r="P158" s="1388"/>
      <c r="Q158" s="1388"/>
      <c r="R158" s="1389"/>
    </row>
    <row r="159" spans="2:29" s="101" customFormat="1" ht="38" customHeight="1" x14ac:dyDescent="0.35">
      <c r="B159" s="1296"/>
      <c r="C159" s="808" t="s">
        <v>703</v>
      </c>
      <c r="D159" s="1300">
        <v>9.5899999999999999E-2</v>
      </c>
      <c r="E159" s="1300"/>
      <c r="F159" s="1300"/>
      <c r="G159" s="1300"/>
      <c r="H159" s="1300"/>
      <c r="I159" s="1300"/>
      <c r="J159" s="1300"/>
      <c r="K159" s="1300"/>
      <c r="L159" s="1300"/>
      <c r="M159" s="1300"/>
      <c r="N159" s="1388"/>
      <c r="O159" s="1388"/>
      <c r="P159" s="1388"/>
      <c r="Q159" s="1388"/>
      <c r="R159" s="1389"/>
    </row>
    <row r="160" spans="2:29" s="101" customFormat="1" ht="12" customHeight="1" x14ac:dyDescent="0.35">
      <c r="B160" s="1296"/>
      <c r="C160" s="1392" t="s">
        <v>704</v>
      </c>
      <c r="D160" s="1300"/>
      <c r="E160" s="1300"/>
      <c r="F160" s="1300"/>
      <c r="G160" s="1300"/>
      <c r="H160" s="1300"/>
      <c r="I160" s="1300"/>
      <c r="J160" s="1300"/>
      <c r="K160" s="1300"/>
      <c r="L160" s="1300"/>
      <c r="M160" s="1300"/>
      <c r="N160" s="1388"/>
      <c r="O160" s="1388"/>
      <c r="P160" s="1388"/>
      <c r="Q160" s="1388"/>
      <c r="R160" s="1389"/>
    </row>
    <row r="161" spans="2:18" s="101" customFormat="1" ht="16" customHeight="1" x14ac:dyDescent="0.35">
      <c r="B161" s="1296"/>
      <c r="C161" s="1392"/>
      <c r="D161" s="1300"/>
      <c r="E161" s="1300"/>
      <c r="F161" s="1300"/>
      <c r="G161" s="1300"/>
      <c r="H161" s="1300"/>
      <c r="I161" s="1300"/>
      <c r="J161" s="1300"/>
      <c r="K161" s="1300"/>
      <c r="L161" s="1300"/>
      <c r="M161" s="1300"/>
      <c r="N161" s="1388"/>
      <c r="O161" s="1388"/>
      <c r="P161" s="1388"/>
      <c r="Q161" s="1388"/>
      <c r="R161" s="1389"/>
    </row>
    <row r="162" spans="2:18" s="101" customFormat="1" ht="34.5" customHeight="1" x14ac:dyDescent="0.35">
      <c r="B162" s="1296"/>
      <c r="C162" s="807" t="s">
        <v>705</v>
      </c>
      <c r="D162" s="1300">
        <v>0.1085</v>
      </c>
      <c r="E162" s="1300"/>
      <c r="F162" s="1300"/>
      <c r="G162" s="1300"/>
      <c r="H162" s="1300"/>
      <c r="I162" s="1300"/>
      <c r="J162" s="1300"/>
      <c r="K162" s="1300"/>
      <c r="L162" s="1300"/>
      <c r="M162" s="1300"/>
      <c r="N162" s="1388"/>
      <c r="O162" s="1388"/>
      <c r="P162" s="1388"/>
      <c r="Q162" s="1388"/>
      <c r="R162" s="1389"/>
    </row>
    <row r="163" spans="2:18" s="101" customFormat="1" ht="12" customHeight="1" x14ac:dyDescent="0.35">
      <c r="B163" s="1296"/>
      <c r="C163" s="1392" t="s">
        <v>707</v>
      </c>
      <c r="D163" s="1300"/>
      <c r="E163" s="1300"/>
      <c r="F163" s="1300"/>
      <c r="G163" s="1300"/>
      <c r="H163" s="1300"/>
      <c r="I163" s="1300"/>
      <c r="J163" s="1300"/>
      <c r="K163" s="1300"/>
      <c r="L163" s="1300"/>
      <c r="M163" s="1300"/>
      <c r="N163" s="1388"/>
      <c r="O163" s="1388"/>
      <c r="P163" s="1388"/>
      <c r="Q163" s="1388"/>
      <c r="R163" s="1389"/>
    </row>
    <row r="164" spans="2:18" s="101" customFormat="1" ht="20" customHeight="1" x14ac:dyDescent="0.35">
      <c r="B164" s="1296"/>
      <c r="C164" s="1392"/>
      <c r="D164" s="1300"/>
      <c r="E164" s="1300"/>
      <c r="F164" s="1300"/>
      <c r="G164" s="1300"/>
      <c r="H164" s="1300"/>
      <c r="I164" s="1300"/>
      <c r="J164" s="1300"/>
      <c r="K164" s="1300"/>
      <c r="L164" s="1300"/>
      <c r="M164" s="1300"/>
      <c r="N164" s="1388"/>
      <c r="O164" s="1388"/>
      <c r="P164" s="1388"/>
      <c r="Q164" s="1388"/>
      <c r="R164" s="1389"/>
    </row>
    <row r="165" spans="2:18" s="101" customFormat="1" ht="30" customHeight="1" x14ac:dyDescent="0.35">
      <c r="B165" s="1296"/>
      <c r="C165" s="808" t="s">
        <v>706</v>
      </c>
      <c r="D165" s="1300">
        <v>0.12139999999999999</v>
      </c>
      <c r="E165" s="1300"/>
      <c r="F165" s="1300"/>
      <c r="G165" s="1300"/>
      <c r="H165" s="1300">
        <v>0.12970000000000001</v>
      </c>
      <c r="I165" s="1300"/>
      <c r="J165" s="1300">
        <v>0.13170000000000001</v>
      </c>
      <c r="K165" s="1300"/>
      <c r="L165" s="1300"/>
      <c r="M165" s="1300"/>
      <c r="N165" s="1388"/>
      <c r="O165" s="1388"/>
      <c r="P165" s="1388"/>
      <c r="Q165" s="1388"/>
      <c r="R165" s="1389"/>
    </row>
    <row r="166" spans="2:18" s="101" customFormat="1" ht="12" customHeight="1" x14ac:dyDescent="0.35">
      <c r="B166" s="1296"/>
      <c r="C166" s="1392" t="s">
        <v>708</v>
      </c>
      <c r="D166" s="1300"/>
      <c r="E166" s="1300"/>
      <c r="F166" s="1300"/>
      <c r="G166" s="1300"/>
      <c r="H166" s="1300"/>
      <c r="I166" s="1300"/>
      <c r="J166" s="1300"/>
      <c r="K166" s="1300"/>
      <c r="L166" s="1300"/>
      <c r="M166" s="1300"/>
      <c r="N166" s="1388"/>
      <c r="O166" s="1388"/>
      <c r="P166" s="1388"/>
      <c r="Q166" s="1388"/>
      <c r="R166" s="1389"/>
    </row>
    <row r="167" spans="2:18" s="101" customFormat="1" ht="16" customHeight="1" thickBot="1" x14ac:dyDescent="0.4">
      <c r="B167" s="1297"/>
      <c r="C167" s="1393"/>
      <c r="D167" s="1394"/>
      <c r="E167" s="1394"/>
      <c r="F167" s="1394"/>
      <c r="G167" s="1394"/>
      <c r="H167" s="1394"/>
      <c r="I167" s="1394"/>
      <c r="J167" s="1394"/>
      <c r="K167" s="1394"/>
      <c r="L167" s="1394"/>
      <c r="M167" s="1394"/>
      <c r="N167" s="1390"/>
      <c r="O167" s="1390"/>
      <c r="P167" s="1390"/>
      <c r="Q167" s="1390"/>
      <c r="R167" s="1391"/>
    </row>
    <row r="168" spans="2:18" s="101" customFormat="1" ht="65" customHeight="1" thickBot="1" x14ac:dyDescent="0.4">
      <c r="B168" s="1355" t="s">
        <v>709</v>
      </c>
      <c r="C168" s="1356"/>
      <c r="D168" s="1372">
        <v>0.1</v>
      </c>
      <c r="E168" s="1372"/>
      <c r="F168" s="1372"/>
      <c r="G168" s="1372"/>
      <c r="H168" s="1372"/>
      <c r="I168" s="1372"/>
      <c r="J168" s="1372"/>
      <c r="K168" s="1372"/>
      <c r="L168" s="1372"/>
      <c r="M168" s="1372"/>
      <c r="N168" s="1380" t="s">
        <v>710</v>
      </c>
      <c r="O168" s="1380"/>
      <c r="P168" s="1380"/>
      <c r="Q168" s="1380"/>
      <c r="R168" s="1381"/>
    </row>
    <row r="169" spans="2:18" s="101" customFormat="1" ht="120" customHeight="1" x14ac:dyDescent="0.35">
      <c r="B169" s="1374" t="s">
        <v>711</v>
      </c>
      <c r="C169" s="823" t="s">
        <v>712</v>
      </c>
      <c r="D169" s="1376">
        <v>2.75E-2</v>
      </c>
      <c r="E169" s="1376"/>
      <c r="F169" s="1376"/>
      <c r="G169" s="1376"/>
      <c r="H169" s="1376">
        <v>6.5000000000000002E-2</v>
      </c>
      <c r="I169" s="1376"/>
      <c r="J169" s="1376">
        <v>0.18</v>
      </c>
      <c r="K169" s="1376"/>
      <c r="L169" s="1376"/>
      <c r="M169" s="1376"/>
      <c r="N169" s="1382" t="s">
        <v>714</v>
      </c>
      <c r="O169" s="1382"/>
      <c r="P169" s="1382"/>
      <c r="Q169" s="1382"/>
      <c r="R169" s="1383"/>
    </row>
    <row r="170" spans="2:18" s="101" customFormat="1" ht="272" customHeight="1" thickBot="1" x14ac:dyDescent="0.4">
      <c r="B170" s="1375"/>
      <c r="C170" s="824" t="s">
        <v>713</v>
      </c>
      <c r="D170" s="825">
        <v>0.21</v>
      </c>
      <c r="E170" s="825">
        <v>0.26</v>
      </c>
      <c r="F170" s="825">
        <v>0.14000000000000001</v>
      </c>
      <c r="G170" s="825">
        <v>0.14000000000000001</v>
      </c>
      <c r="H170" s="825">
        <v>0.37</v>
      </c>
      <c r="I170" s="825">
        <v>0.41</v>
      </c>
      <c r="J170" s="825">
        <v>0.59</v>
      </c>
      <c r="K170" s="825">
        <v>0.76</v>
      </c>
      <c r="L170" s="825">
        <v>0.73</v>
      </c>
      <c r="M170" s="825">
        <v>0.74</v>
      </c>
      <c r="N170" s="1384" t="s">
        <v>715</v>
      </c>
      <c r="O170" s="1384"/>
      <c r="P170" s="1384"/>
      <c r="Q170" s="1384"/>
      <c r="R170" s="1385"/>
    </row>
    <row r="171" spans="2:18" s="101" customFormat="1" ht="89.5" customHeight="1" thickBot="1" x14ac:dyDescent="0.4">
      <c r="B171" s="1355" t="s">
        <v>716</v>
      </c>
      <c r="C171" s="1356"/>
      <c r="D171" s="1372">
        <v>5.0000000000000001E-3</v>
      </c>
      <c r="E171" s="1372"/>
      <c r="F171" s="1372"/>
      <c r="G171" s="1372"/>
      <c r="H171" s="1372"/>
      <c r="I171" s="1372"/>
      <c r="J171" s="1372"/>
      <c r="K171" s="1372"/>
      <c r="L171" s="1372"/>
      <c r="M171" s="1372"/>
      <c r="N171" s="1380" t="s">
        <v>717</v>
      </c>
      <c r="O171" s="1380"/>
      <c r="P171" s="1380"/>
      <c r="Q171" s="1380"/>
      <c r="R171" s="1381"/>
    </row>
    <row r="172" spans="2:18" s="101" customFormat="1" ht="228.5" customHeight="1" thickBot="1" x14ac:dyDescent="0.4">
      <c r="B172" s="1293" t="s">
        <v>718</v>
      </c>
      <c r="C172" s="1294"/>
      <c r="D172" s="1353">
        <v>0.01</v>
      </c>
      <c r="E172" s="1353"/>
      <c r="F172" s="1353"/>
      <c r="G172" s="1353"/>
      <c r="H172" s="1353">
        <v>0.02</v>
      </c>
      <c r="I172" s="1353"/>
      <c r="J172" s="1353">
        <v>2.5000000000000001E-2</v>
      </c>
      <c r="K172" s="1353"/>
      <c r="L172" s="1353"/>
      <c r="M172" s="1353"/>
      <c r="N172" s="1367" t="s">
        <v>719</v>
      </c>
      <c r="O172" s="1367"/>
      <c r="P172" s="1367"/>
      <c r="Q172" s="1367"/>
      <c r="R172" s="1368"/>
    </row>
    <row r="173" spans="2:18" s="101" customFormat="1" ht="56" customHeight="1" thickBot="1" x14ac:dyDescent="0.4">
      <c r="B173" s="1355" t="s">
        <v>721</v>
      </c>
      <c r="C173" s="1356"/>
      <c r="D173" s="1372">
        <v>5.0000000000000001E-3</v>
      </c>
      <c r="E173" s="1372"/>
      <c r="F173" s="1372"/>
      <c r="G173" s="1372"/>
      <c r="H173" s="1372">
        <v>0.01</v>
      </c>
      <c r="I173" s="1372"/>
      <c r="J173" s="1372">
        <v>1.4999999999999999E-2</v>
      </c>
      <c r="K173" s="1372"/>
      <c r="L173" s="1372"/>
      <c r="M173" s="1372"/>
      <c r="N173" s="1380" t="s">
        <v>720</v>
      </c>
      <c r="O173" s="1380"/>
      <c r="P173" s="1380"/>
      <c r="Q173" s="1380"/>
      <c r="R173" s="1381"/>
    </row>
    <row r="174" spans="2:18" s="101" customFormat="1" ht="225" customHeight="1" thickBot="1" x14ac:dyDescent="0.4">
      <c r="B174" s="1293" t="s">
        <v>722</v>
      </c>
      <c r="C174" s="1373"/>
      <c r="D174" s="1353">
        <v>0.01</v>
      </c>
      <c r="E174" s="1353"/>
      <c r="F174" s="1353"/>
      <c r="G174" s="1353"/>
      <c r="H174" s="1353">
        <v>0.02</v>
      </c>
      <c r="I174" s="1353"/>
      <c r="J174" s="1353">
        <v>2.5000000000000001E-2</v>
      </c>
      <c r="K174" s="1353"/>
      <c r="L174" s="1353"/>
      <c r="M174" s="1353"/>
      <c r="N174" s="1367" t="s">
        <v>723</v>
      </c>
      <c r="O174" s="1367"/>
      <c r="P174" s="1367"/>
      <c r="Q174" s="1367"/>
      <c r="R174" s="1368"/>
    </row>
    <row r="175" spans="2:18" s="101" customFormat="1" ht="15.5" x14ac:dyDescent="0.25">
      <c r="B175" s="813" t="s">
        <v>724</v>
      </c>
      <c r="C175" s="802"/>
      <c r="D175" s="812"/>
      <c r="E175" s="812"/>
      <c r="F175" s="812"/>
      <c r="G175" s="812"/>
      <c r="H175" s="812"/>
      <c r="I175" s="812"/>
      <c r="J175" s="812"/>
      <c r="K175" s="812"/>
      <c r="L175" s="812"/>
      <c r="M175" s="812"/>
      <c r="N175" s="803"/>
      <c r="O175" s="803"/>
      <c r="P175" s="803"/>
      <c r="Q175" s="803"/>
      <c r="R175" s="803"/>
    </row>
    <row r="176" spans="2:18" s="101" customFormat="1" ht="15.5" x14ac:dyDescent="0.35">
      <c r="B176" s="1369" t="s">
        <v>642</v>
      </c>
      <c r="C176" s="1369"/>
      <c r="D176" s="1369"/>
      <c r="E176" s="1369"/>
      <c r="F176" s="1369"/>
      <c r="G176" s="1369"/>
      <c r="H176" s="1369"/>
      <c r="I176" s="1369"/>
      <c r="J176" s="1369"/>
      <c r="K176" s="1369"/>
      <c r="L176" s="1369"/>
      <c r="M176" s="1369"/>
      <c r="N176" s="1369"/>
    </row>
    <row r="177" spans="2:14" s="101" customFormat="1" ht="15.5" x14ac:dyDescent="0.35">
      <c r="B177" s="98" t="s">
        <v>725</v>
      </c>
      <c r="C177" s="804"/>
      <c r="D177" s="804"/>
      <c r="E177" s="804"/>
      <c r="F177" s="804"/>
      <c r="G177" s="804"/>
      <c r="H177" s="804"/>
      <c r="I177" s="804"/>
      <c r="J177" s="804"/>
      <c r="K177" s="804"/>
      <c r="L177" s="804"/>
      <c r="M177" s="804"/>
      <c r="N177" s="804"/>
    </row>
    <row r="178" spans="2:14" s="101" customFormat="1" ht="16" thickBot="1" x14ac:dyDescent="0.4">
      <c r="B178" s="826" t="s">
        <v>727</v>
      </c>
      <c r="C178" s="804"/>
      <c r="D178" s="804"/>
      <c r="E178" s="804"/>
      <c r="F178" s="804"/>
      <c r="G178" s="804"/>
      <c r="H178" s="804"/>
      <c r="I178" s="804"/>
      <c r="J178" s="804"/>
      <c r="K178" s="804"/>
      <c r="L178" s="804"/>
      <c r="M178" s="804"/>
      <c r="N178" s="804"/>
    </row>
    <row r="179" spans="2:14" s="101" customFormat="1" ht="15.5" customHeight="1" x14ac:dyDescent="0.35">
      <c r="B179" s="1395"/>
      <c r="C179" s="1396"/>
      <c r="D179" s="1396"/>
      <c r="E179" s="1399" t="s">
        <v>751</v>
      </c>
      <c r="F179" s="804"/>
      <c r="G179" s="804"/>
      <c r="H179" s="804"/>
      <c r="I179" s="804"/>
      <c r="J179" s="804"/>
      <c r="K179" s="804"/>
      <c r="L179" s="804"/>
      <c r="M179" s="804"/>
      <c r="N179" s="804"/>
    </row>
    <row r="180" spans="2:14" s="101" customFormat="1" ht="15.5" customHeight="1" x14ac:dyDescent="0.35">
      <c r="B180" s="1397"/>
      <c r="C180" s="1398"/>
      <c r="D180" s="1398"/>
      <c r="E180" s="1400"/>
      <c r="F180" s="804"/>
      <c r="G180" s="804"/>
      <c r="H180" s="804"/>
      <c r="I180" s="804"/>
      <c r="J180" s="804"/>
      <c r="K180" s="804"/>
      <c r="L180" s="804"/>
      <c r="M180" s="804"/>
      <c r="N180" s="804"/>
    </row>
    <row r="181" spans="2:14" s="101" customFormat="1" ht="15.5" customHeight="1" x14ac:dyDescent="0.35">
      <c r="B181" s="1404" t="s">
        <v>733</v>
      </c>
      <c r="C181" s="1405"/>
      <c r="D181" s="1406"/>
      <c r="E181" s="827"/>
      <c r="F181" s="804"/>
      <c r="G181" s="804"/>
      <c r="H181" s="804"/>
      <c r="I181" s="804"/>
      <c r="J181" s="804"/>
      <c r="K181" s="804"/>
      <c r="L181" s="804"/>
      <c r="M181" s="804"/>
      <c r="N181" s="804"/>
    </row>
    <row r="182" spans="2:14" s="101" customFormat="1" ht="15.5" customHeight="1" x14ac:dyDescent="0.35">
      <c r="B182" s="1401" t="s">
        <v>729</v>
      </c>
      <c r="C182" s="1402"/>
      <c r="D182" s="1403"/>
      <c r="E182" s="828">
        <v>73.3</v>
      </c>
    </row>
    <row r="183" spans="2:14" s="101" customFormat="1" ht="15.5" x14ac:dyDescent="0.35">
      <c r="B183" s="1401" t="s">
        <v>730</v>
      </c>
      <c r="C183" s="1402"/>
      <c r="D183" s="1403"/>
      <c r="E183" s="828">
        <v>64.2</v>
      </c>
    </row>
    <row r="184" spans="2:14" s="101" customFormat="1" ht="15.5" x14ac:dyDescent="0.35">
      <c r="B184" s="1401" t="s">
        <v>731</v>
      </c>
      <c r="C184" s="1402"/>
      <c r="D184" s="1403"/>
      <c r="E184" s="828">
        <v>69.3</v>
      </c>
    </row>
    <row r="185" spans="2:14" s="101" customFormat="1" ht="15.5" x14ac:dyDescent="0.35">
      <c r="B185" s="1401" t="s">
        <v>732</v>
      </c>
      <c r="C185" s="1402"/>
      <c r="D185" s="1403"/>
      <c r="E185" s="828">
        <v>71.900000000000006</v>
      </c>
    </row>
    <row r="186" spans="2:14" s="101" customFormat="1" ht="15.5" x14ac:dyDescent="0.35">
      <c r="B186" s="1401" t="s">
        <v>728</v>
      </c>
      <c r="C186" s="1402"/>
      <c r="D186" s="1403"/>
      <c r="E186" s="828">
        <v>74.099999999999994</v>
      </c>
    </row>
    <row r="187" spans="2:14" s="101" customFormat="1" ht="15" customHeight="1" x14ac:dyDescent="0.35">
      <c r="B187" s="1401" t="s">
        <v>734</v>
      </c>
      <c r="C187" s="1402"/>
      <c r="D187" s="1403"/>
      <c r="E187" s="828">
        <v>77.400000000000006</v>
      </c>
    </row>
    <row r="188" spans="2:14" s="101" customFormat="1" ht="15" customHeight="1" x14ac:dyDescent="0.35">
      <c r="B188" s="1401" t="s">
        <v>735</v>
      </c>
      <c r="C188" s="1402"/>
      <c r="D188" s="1403"/>
      <c r="E188" s="828">
        <v>63.1</v>
      </c>
    </row>
    <row r="189" spans="2:14" s="101" customFormat="1" ht="15.5" x14ac:dyDescent="0.35">
      <c r="B189" s="1401" t="s">
        <v>736</v>
      </c>
      <c r="C189" s="1402"/>
      <c r="D189" s="1403"/>
      <c r="E189" s="828">
        <v>73.3</v>
      </c>
    </row>
    <row r="190" spans="2:14" s="101" customFormat="1" ht="15.5" x14ac:dyDescent="0.35">
      <c r="B190" s="1401" t="s">
        <v>737</v>
      </c>
      <c r="C190" s="1402"/>
      <c r="D190" s="1403"/>
      <c r="E190" s="828">
        <v>73.3</v>
      </c>
    </row>
    <row r="191" spans="2:14" s="101" customFormat="1" ht="15.5" x14ac:dyDescent="0.35">
      <c r="B191" s="1401" t="s">
        <v>738</v>
      </c>
      <c r="C191" s="1402"/>
      <c r="D191" s="1403"/>
      <c r="E191" s="828">
        <v>97.5</v>
      </c>
    </row>
    <row r="192" spans="2:14" s="101" customFormat="1" ht="15.5" x14ac:dyDescent="0.35">
      <c r="B192" s="1401" t="s">
        <v>739</v>
      </c>
      <c r="C192" s="1402"/>
      <c r="D192" s="1403"/>
      <c r="E192" s="828">
        <v>94.6</v>
      </c>
    </row>
    <row r="193" spans="2:29" s="101" customFormat="1" ht="15.5" x14ac:dyDescent="0.35">
      <c r="B193" s="1401" t="s">
        <v>740</v>
      </c>
      <c r="C193" s="1402"/>
      <c r="D193" s="1403"/>
      <c r="E193" s="828">
        <v>94.6</v>
      </c>
    </row>
    <row r="194" spans="2:29" s="101" customFormat="1" ht="15.5" x14ac:dyDescent="0.35">
      <c r="B194" s="1401" t="s">
        <v>741</v>
      </c>
      <c r="C194" s="1402"/>
      <c r="D194" s="1403"/>
      <c r="E194" s="828">
        <v>96.1</v>
      </c>
    </row>
    <row r="195" spans="2:29" s="101" customFormat="1" ht="15.5" x14ac:dyDescent="0.35">
      <c r="B195" s="1401" t="s">
        <v>742</v>
      </c>
      <c r="C195" s="1402"/>
      <c r="D195" s="1403"/>
      <c r="E195" s="828">
        <v>56.1</v>
      </c>
    </row>
    <row r="196" spans="2:29" s="101" customFormat="1" ht="15.5" x14ac:dyDescent="0.35">
      <c r="B196" s="1401" t="s">
        <v>743</v>
      </c>
      <c r="C196" s="1402"/>
      <c r="D196" s="1403"/>
      <c r="E196" s="828">
        <v>73.3</v>
      </c>
    </row>
    <row r="197" spans="2:29" s="101" customFormat="1" ht="15.5" x14ac:dyDescent="0.35">
      <c r="B197" s="1412" t="s">
        <v>744</v>
      </c>
      <c r="C197" s="1413"/>
      <c r="D197" s="1414"/>
      <c r="E197" s="829"/>
    </row>
    <row r="198" spans="2:29" s="101" customFormat="1" ht="15.5" x14ac:dyDescent="0.35">
      <c r="B198" s="1401" t="s">
        <v>745</v>
      </c>
      <c r="C198" s="1402"/>
      <c r="D198" s="1403"/>
      <c r="E198" s="828">
        <v>69.3</v>
      </c>
    </row>
    <row r="199" spans="2:29" s="101" customFormat="1" ht="15.5" x14ac:dyDescent="0.35">
      <c r="B199" s="1401" t="s">
        <v>746</v>
      </c>
      <c r="C199" s="1402"/>
      <c r="D199" s="1403"/>
      <c r="E199" s="828">
        <v>74.099999999999994</v>
      </c>
    </row>
    <row r="200" spans="2:29" s="101" customFormat="1" ht="15.5" x14ac:dyDescent="0.35">
      <c r="B200" s="1401" t="s">
        <v>747</v>
      </c>
      <c r="C200" s="1402"/>
      <c r="D200" s="1403"/>
      <c r="E200" s="828">
        <v>63.1</v>
      </c>
    </row>
    <row r="201" spans="2:29" s="101" customFormat="1" ht="15.5" x14ac:dyDescent="0.35">
      <c r="B201" s="831" t="s">
        <v>748</v>
      </c>
      <c r="C201" s="832"/>
      <c r="D201" s="832"/>
      <c r="E201" s="828">
        <v>56.1</v>
      </c>
    </row>
    <row r="202" spans="2:29" s="101" customFormat="1" ht="15.5" x14ac:dyDescent="0.25">
      <c r="B202" s="831" t="s">
        <v>749</v>
      </c>
      <c r="C202" s="832"/>
      <c r="D202" s="832"/>
      <c r="E202" s="828">
        <v>56.1</v>
      </c>
      <c r="AB202" s="2"/>
      <c r="AC202" s="2"/>
    </row>
    <row r="203" spans="2:29" s="101" customFormat="1" ht="16" thickBot="1" x14ac:dyDescent="0.3">
      <c r="B203" s="1415" t="s">
        <v>750</v>
      </c>
      <c r="C203" s="1416"/>
      <c r="D203" s="1417"/>
      <c r="E203" s="830">
        <v>71.900000000000006</v>
      </c>
      <c r="AB203" s="2"/>
      <c r="AC203" s="2"/>
    </row>
    <row r="204" spans="2:29" ht="14" x14ac:dyDescent="0.3">
      <c r="B204" s="1407" t="s">
        <v>752</v>
      </c>
      <c r="C204" s="1407"/>
      <c r="D204" s="1407"/>
      <c r="E204" s="1407"/>
      <c r="H204" s="22"/>
      <c r="I204" s="22"/>
      <c r="J204" s="22"/>
      <c r="K204" s="22"/>
      <c r="L204" s="22"/>
      <c r="M204" s="22"/>
      <c r="N204" s="22"/>
      <c r="O204" s="22"/>
      <c r="P204" s="22"/>
      <c r="Q204" s="22"/>
      <c r="R204" s="22"/>
      <c r="S204" s="22"/>
      <c r="T204" s="22"/>
      <c r="U204" s="22"/>
      <c r="V204" s="22"/>
      <c r="W204" s="20"/>
    </row>
    <row r="205" spans="2:29" ht="27" customHeight="1" x14ac:dyDescent="0.35">
      <c r="B205" s="1408" t="s">
        <v>753</v>
      </c>
      <c r="C205" s="1408"/>
      <c r="D205" s="1408"/>
      <c r="E205" s="1408"/>
      <c r="F205" s="20"/>
      <c r="G205" s="20"/>
      <c r="H205" s="99"/>
      <c r="I205" s="99"/>
      <c r="J205" s="99"/>
      <c r="K205" s="99"/>
      <c r="L205"/>
      <c r="M205"/>
      <c r="N205" s="99"/>
      <c r="O205" s="99"/>
      <c r="P205" s="99"/>
      <c r="Q205" s="99"/>
      <c r="R205" s="99"/>
      <c r="S205" s="99"/>
      <c r="T205" s="99"/>
      <c r="U205" s="99"/>
      <c r="V205" s="99"/>
      <c r="W205" s="20"/>
    </row>
    <row r="206" spans="2:29" ht="15" customHeight="1" x14ac:dyDescent="0.35">
      <c r="B206" s="1409" t="s">
        <v>754</v>
      </c>
      <c r="C206" s="1409"/>
      <c r="D206" s="1409"/>
      <c r="E206" s="1409"/>
      <c r="F206" s="5"/>
      <c r="G206" s="5"/>
      <c r="H206" s="99"/>
      <c r="I206" s="99"/>
      <c r="J206" s="99"/>
      <c r="K206" s="99"/>
      <c r="L206"/>
      <c r="M206"/>
      <c r="N206" s="99"/>
      <c r="O206" s="99"/>
      <c r="P206" s="99"/>
      <c r="Q206" s="99"/>
      <c r="R206" s="99"/>
      <c r="S206" s="99"/>
      <c r="T206" s="99"/>
      <c r="U206" s="99"/>
      <c r="V206" s="99"/>
      <c r="W206" s="20"/>
    </row>
    <row r="207" spans="2:29" ht="15" customHeight="1" x14ac:dyDescent="0.35">
      <c r="B207" s="1410" t="s">
        <v>757</v>
      </c>
      <c r="C207" s="1411"/>
      <c r="D207" s="1411"/>
      <c r="E207" s="1411"/>
      <c r="F207" s="5"/>
      <c r="G207" s="5"/>
      <c r="H207" s="99"/>
      <c r="I207" s="99"/>
      <c r="J207" s="99"/>
      <c r="K207" s="99"/>
      <c r="L207"/>
      <c r="M207"/>
      <c r="N207" s="99"/>
      <c r="O207" s="99"/>
      <c r="P207" s="99"/>
      <c r="Q207" s="99"/>
      <c r="R207" s="99"/>
      <c r="S207" s="99"/>
      <c r="T207" s="99"/>
      <c r="U207" s="99"/>
      <c r="V207" s="99"/>
      <c r="W207" s="20"/>
    </row>
    <row r="208" spans="2:29" ht="28.5" customHeight="1" x14ac:dyDescent="0.35">
      <c r="B208" s="1422" t="s">
        <v>755</v>
      </c>
      <c r="C208" s="1422"/>
      <c r="D208" s="1422"/>
      <c r="E208" s="1422"/>
      <c r="F208" s="5"/>
      <c r="G208" s="5"/>
      <c r="H208" s="99"/>
      <c r="I208" s="99"/>
      <c r="J208" s="99"/>
      <c r="K208" s="99"/>
      <c r="L208"/>
      <c r="M208"/>
      <c r="N208" s="99"/>
      <c r="O208" s="99"/>
      <c r="P208" s="99"/>
      <c r="Q208" s="99"/>
      <c r="R208" s="99"/>
      <c r="S208" s="99"/>
      <c r="T208" s="99"/>
      <c r="U208" s="99"/>
      <c r="V208" s="99"/>
      <c r="W208" s="20"/>
    </row>
    <row r="209" spans="2:29" ht="28.5" customHeight="1" x14ac:dyDescent="0.35">
      <c r="B209" s="1423" t="s">
        <v>756</v>
      </c>
      <c r="C209" s="1423"/>
      <c r="D209" s="1423"/>
      <c r="E209" s="1423"/>
      <c r="F209" s="5"/>
      <c r="G209" s="5"/>
      <c r="H209" s="99"/>
      <c r="I209" s="99"/>
      <c r="J209" s="99"/>
      <c r="K209" s="99"/>
      <c r="L209"/>
      <c r="M209"/>
      <c r="N209" s="99"/>
      <c r="O209" s="99"/>
      <c r="P209" s="99"/>
      <c r="Q209" s="99"/>
      <c r="R209" s="99"/>
      <c r="S209" s="99"/>
      <c r="T209" s="99"/>
      <c r="U209" s="99"/>
      <c r="V209" s="99"/>
      <c r="W209" s="20"/>
    </row>
    <row r="210" spans="2:29" ht="15.5" x14ac:dyDescent="0.35">
      <c r="C210" s="20"/>
      <c r="D210" s="99"/>
      <c r="E210" s="99"/>
      <c r="F210" s="99"/>
      <c r="G210" s="99"/>
      <c r="H210" s="99"/>
      <c r="I210" s="99"/>
      <c r="L210"/>
      <c r="M210"/>
      <c r="N210" s="99"/>
      <c r="O210" s="99"/>
      <c r="P210" s="99"/>
      <c r="Q210" s="99"/>
      <c r="R210" s="99"/>
      <c r="S210" s="99"/>
      <c r="T210" s="99"/>
      <c r="U210" s="99"/>
      <c r="V210" s="99"/>
      <c r="W210" s="20"/>
    </row>
    <row r="211" spans="2:29" ht="15.5" x14ac:dyDescent="0.35">
      <c r="B211" s="98" t="s">
        <v>758</v>
      </c>
      <c r="C211" s="20"/>
      <c r="D211" s="99"/>
      <c r="E211" s="99"/>
      <c r="F211" s="99"/>
      <c r="G211" s="99"/>
      <c r="H211" s="99"/>
      <c r="I211" s="99"/>
      <c r="L211"/>
      <c r="M211"/>
      <c r="N211" s="99"/>
      <c r="O211" s="99"/>
      <c r="P211" s="99"/>
      <c r="Q211" s="99"/>
      <c r="R211" s="99"/>
      <c r="S211" s="99"/>
      <c r="T211" s="99"/>
      <c r="U211" s="99"/>
      <c r="V211" s="99"/>
      <c r="W211" s="20"/>
      <c r="AB211" s="102"/>
      <c r="AC211" s="102"/>
    </row>
    <row r="212" spans="2:29" ht="16" thickBot="1" x14ac:dyDescent="0.4">
      <c r="B212" s="826" t="s">
        <v>759</v>
      </c>
      <c r="C212" s="20"/>
      <c r="D212" s="99"/>
      <c r="E212" s="99"/>
      <c r="F212" s="99"/>
      <c r="G212" s="99"/>
      <c r="H212" s="99"/>
      <c r="I212" s="99"/>
      <c r="L212"/>
      <c r="M212"/>
      <c r="N212" s="99"/>
      <c r="O212" s="99"/>
      <c r="P212" s="99"/>
      <c r="Q212" s="99"/>
      <c r="R212" s="99"/>
      <c r="S212" s="99"/>
      <c r="T212" s="99"/>
      <c r="U212" s="99"/>
      <c r="V212" s="99"/>
      <c r="W212" s="20"/>
      <c r="AB212" s="102"/>
      <c r="AC212" s="102"/>
    </row>
    <row r="213" spans="2:29" s="102" customFormat="1" ht="25.5" customHeight="1" x14ac:dyDescent="0.35">
      <c r="B213" s="444" t="s">
        <v>726</v>
      </c>
      <c r="C213" s="445" t="s">
        <v>783</v>
      </c>
      <c r="K213"/>
      <c r="L213"/>
    </row>
    <row r="214" spans="2:29" s="102" customFormat="1" ht="28" customHeight="1" thickBot="1" x14ac:dyDescent="0.4">
      <c r="B214" s="772" t="s">
        <v>760</v>
      </c>
      <c r="C214" s="773">
        <v>3.7340000000000002E-6</v>
      </c>
      <c r="D214" s="101"/>
    </row>
    <row r="215" spans="2:29" s="102" customFormat="1" ht="26" thickBot="1" x14ac:dyDescent="0.4">
      <c r="B215" s="774" t="s">
        <v>761</v>
      </c>
      <c r="C215" s="775">
        <v>5.1259999999999997E-6</v>
      </c>
      <c r="D215" s="101"/>
    </row>
    <row r="216" spans="2:29" s="102" customFormat="1" ht="15" customHeight="1" thickBot="1" x14ac:dyDescent="0.4">
      <c r="B216" s="774" t="s">
        <v>728</v>
      </c>
      <c r="C216" s="775">
        <v>5.7289999999999997E-6</v>
      </c>
      <c r="D216" s="101"/>
    </row>
    <row r="217" spans="2:29" s="102" customFormat="1" ht="15" customHeight="1" thickBot="1" x14ac:dyDescent="0.3">
      <c r="B217" s="774" t="s">
        <v>763</v>
      </c>
      <c r="C217" s="775">
        <v>6.6499999999999999E-6</v>
      </c>
      <c r="D217" s="101"/>
      <c r="AB217" s="2"/>
      <c r="AC217" s="2"/>
    </row>
    <row r="218" spans="2:29" s="102" customFormat="1" ht="25.5" x14ac:dyDescent="0.25">
      <c r="B218" s="776" t="s">
        <v>762</v>
      </c>
      <c r="C218" s="777">
        <v>3.2326000000000001E-2</v>
      </c>
      <c r="D218" s="101"/>
      <c r="AB218" s="2"/>
      <c r="AC218" s="2"/>
    </row>
    <row r="219" spans="2:29" ht="38" customHeight="1" x14ac:dyDescent="0.3">
      <c r="B219" s="1424" t="s">
        <v>764</v>
      </c>
      <c r="C219" s="1424"/>
      <c r="H219" s="22"/>
      <c r="I219" s="22"/>
      <c r="J219" s="22"/>
      <c r="K219" s="22"/>
      <c r="L219" s="22"/>
      <c r="M219" s="22"/>
      <c r="N219" s="22"/>
      <c r="O219" s="22"/>
      <c r="P219" s="22"/>
      <c r="Q219" s="22"/>
      <c r="R219" s="22"/>
      <c r="S219" s="22"/>
      <c r="T219" s="22"/>
      <c r="U219" s="22"/>
      <c r="V219" s="22"/>
      <c r="W219" s="20"/>
    </row>
    <row r="220" spans="2:29" ht="36" customHeight="1" x14ac:dyDescent="0.25">
      <c r="B220" s="1420" t="s">
        <v>765</v>
      </c>
      <c r="C220" s="1420"/>
      <c r="D220" s="20"/>
      <c r="E220" s="20"/>
      <c r="F220" s="20"/>
      <c r="G220" s="20"/>
      <c r="H220" s="99"/>
      <c r="I220" s="99"/>
      <c r="J220" s="99"/>
      <c r="K220" s="99"/>
      <c r="L220" s="99"/>
      <c r="M220" s="99"/>
      <c r="N220" s="99"/>
      <c r="O220" s="99"/>
      <c r="P220" s="99"/>
      <c r="Q220" s="99"/>
      <c r="R220" s="99"/>
      <c r="S220" s="99"/>
      <c r="T220" s="99"/>
      <c r="U220" s="99"/>
      <c r="V220" s="99"/>
      <c r="W220" s="20"/>
    </row>
    <row r="221" spans="2:29" ht="15.5" x14ac:dyDescent="0.35">
      <c r="B221" s="100" t="s">
        <v>315</v>
      </c>
      <c r="AB221" s="101"/>
      <c r="AC221" s="101"/>
    </row>
    <row r="222" spans="2:29" ht="16" thickBot="1" x14ac:dyDescent="0.4">
      <c r="B222" s="754" t="s">
        <v>766</v>
      </c>
      <c r="AB222" s="101"/>
      <c r="AC222" s="101"/>
    </row>
    <row r="223" spans="2:29" s="101" customFormat="1" ht="50" customHeight="1" x14ac:dyDescent="0.35">
      <c r="B223" s="446" t="s">
        <v>767</v>
      </c>
      <c r="C223" s="447" t="s">
        <v>768</v>
      </c>
      <c r="D223" s="448" t="s">
        <v>601</v>
      </c>
    </row>
    <row r="224" spans="2:29" s="101" customFormat="1" ht="15.5" x14ac:dyDescent="0.35">
      <c r="B224" s="614" t="s">
        <v>824</v>
      </c>
      <c r="C224" s="696">
        <v>0.96099999999999997</v>
      </c>
      <c r="D224" s="697">
        <v>1</v>
      </c>
    </row>
    <row r="225" spans="2:29" s="101" customFormat="1" ht="15.5" x14ac:dyDescent="0.35">
      <c r="B225" s="614" t="s">
        <v>825</v>
      </c>
      <c r="C225" s="696">
        <v>0.995</v>
      </c>
      <c r="D225" s="697" t="s">
        <v>769</v>
      </c>
    </row>
    <row r="226" spans="2:29" s="101" customFormat="1" ht="38.5" x14ac:dyDescent="0.35">
      <c r="B226" s="614" t="s">
        <v>826</v>
      </c>
      <c r="C226" s="696">
        <v>0.93600000000000005</v>
      </c>
      <c r="D226" s="697" t="s">
        <v>770</v>
      </c>
    </row>
    <row r="227" spans="2:29" s="101" customFormat="1" ht="38.5" x14ac:dyDescent="0.35">
      <c r="B227" s="614" t="s">
        <v>827</v>
      </c>
      <c r="C227" s="696">
        <v>0.995</v>
      </c>
      <c r="D227" s="697" t="s">
        <v>770</v>
      </c>
    </row>
    <row r="228" spans="2:29" s="101" customFormat="1" ht="15.5" x14ac:dyDescent="0.35">
      <c r="B228" s="614" t="s">
        <v>828</v>
      </c>
      <c r="C228" s="696">
        <v>0.98</v>
      </c>
      <c r="D228" s="697">
        <v>1</v>
      </c>
    </row>
    <row r="229" spans="2:29" s="101" customFormat="1" ht="25.5" x14ac:dyDescent="0.35">
      <c r="B229" s="614" t="s">
        <v>829</v>
      </c>
      <c r="C229" s="696">
        <v>0.995</v>
      </c>
      <c r="D229" s="697">
        <v>1</v>
      </c>
    </row>
    <row r="230" spans="2:29" s="101" customFormat="1" ht="38.5" x14ac:dyDescent="0.35">
      <c r="B230" s="614" t="s">
        <v>830</v>
      </c>
      <c r="C230" s="698">
        <v>0.95</v>
      </c>
      <c r="D230" s="697">
        <v>1</v>
      </c>
    </row>
    <row r="231" spans="2:29" s="101" customFormat="1" ht="51.5" thickBot="1" x14ac:dyDescent="0.35">
      <c r="B231" s="615" t="s">
        <v>831</v>
      </c>
      <c r="C231" s="616">
        <v>0.98</v>
      </c>
      <c r="D231" s="617">
        <v>4</v>
      </c>
      <c r="AB231" s="316"/>
      <c r="AC231" s="316"/>
    </row>
    <row r="232" spans="2:29" s="101" customFormat="1" ht="26" customHeight="1" x14ac:dyDescent="0.25">
      <c r="B232" s="1425" t="s">
        <v>771</v>
      </c>
      <c r="C232" s="1425"/>
      <c r="D232" s="1425"/>
      <c r="AB232" s="2"/>
      <c r="AC232" s="2"/>
    </row>
    <row r="233" spans="2:29" s="316" customFormat="1" ht="27.5" customHeight="1" x14ac:dyDescent="0.3">
      <c r="B233" s="1419" t="s">
        <v>778</v>
      </c>
      <c r="C233" s="1419"/>
      <c r="D233" s="1419"/>
      <c r="E233" s="833"/>
      <c r="F233" s="833"/>
      <c r="G233" s="833"/>
      <c r="H233" s="220"/>
      <c r="I233" s="220"/>
      <c r="J233" s="220"/>
      <c r="K233" s="220"/>
      <c r="L233" s="220"/>
      <c r="M233" s="220"/>
      <c r="N233" s="220"/>
      <c r="O233" s="220"/>
      <c r="P233" s="220"/>
      <c r="Q233" s="220"/>
      <c r="R233" s="220"/>
      <c r="S233" s="220"/>
      <c r="T233" s="220"/>
      <c r="U233" s="220"/>
      <c r="V233" s="220"/>
      <c r="W233" s="19"/>
    </row>
    <row r="234" spans="2:29" ht="15.5" x14ac:dyDescent="0.25">
      <c r="B234" s="1420" t="s">
        <v>772</v>
      </c>
      <c r="C234" s="1420"/>
      <c r="D234" s="1420"/>
      <c r="E234" s="101"/>
      <c r="F234" s="101"/>
      <c r="G234" s="101"/>
      <c r="H234" s="99"/>
      <c r="I234" s="99"/>
      <c r="J234" s="99"/>
      <c r="K234" s="99"/>
      <c r="L234" s="99"/>
      <c r="M234" s="99"/>
      <c r="N234" s="99"/>
      <c r="O234" s="99"/>
      <c r="P234" s="99"/>
      <c r="Q234" s="99"/>
      <c r="R234" s="99"/>
      <c r="S234" s="99"/>
      <c r="T234" s="99"/>
      <c r="U234" s="99"/>
      <c r="V234" s="99"/>
      <c r="W234" s="20"/>
    </row>
    <row r="235" spans="2:29" s="316" customFormat="1" ht="14" customHeight="1" x14ac:dyDescent="0.3">
      <c r="B235" s="1421" t="s">
        <v>777</v>
      </c>
      <c r="C235" s="1421"/>
      <c r="D235" s="1421"/>
      <c r="E235" s="833"/>
      <c r="F235" s="833"/>
      <c r="G235" s="833"/>
      <c r="H235" s="834"/>
      <c r="I235" s="834"/>
      <c r="J235" s="834"/>
      <c r="K235" s="834"/>
      <c r="L235" s="834"/>
      <c r="M235" s="834"/>
      <c r="N235" s="834"/>
      <c r="O235" s="834"/>
      <c r="P235" s="834"/>
      <c r="Q235" s="834"/>
      <c r="R235" s="834"/>
      <c r="S235" s="834"/>
      <c r="T235" s="834"/>
      <c r="U235" s="834"/>
      <c r="V235" s="834"/>
      <c r="W235" s="19"/>
    </row>
    <row r="236" spans="2:29" ht="57" customHeight="1" x14ac:dyDescent="0.25">
      <c r="B236" s="1418" t="s">
        <v>773</v>
      </c>
      <c r="C236" s="1418"/>
      <c r="D236" s="1418"/>
      <c r="E236" s="101"/>
      <c r="F236" s="101"/>
      <c r="G236" s="101"/>
      <c r="H236" s="99"/>
      <c r="I236" s="99"/>
      <c r="J236" s="99"/>
      <c r="K236" s="99"/>
      <c r="L236" s="99"/>
      <c r="M236" s="99"/>
      <c r="N236" s="99"/>
      <c r="O236" s="99"/>
      <c r="P236" s="99"/>
      <c r="Q236" s="99"/>
      <c r="R236" s="99"/>
      <c r="S236" s="99"/>
      <c r="T236" s="99"/>
      <c r="U236" s="99"/>
      <c r="V236" s="99"/>
      <c r="W236" s="20"/>
    </row>
    <row r="237" spans="2:29" s="316" customFormat="1" ht="52" customHeight="1" x14ac:dyDescent="0.3">
      <c r="B237" s="1419" t="s">
        <v>776</v>
      </c>
      <c r="C237" s="1419"/>
      <c r="D237" s="1419"/>
      <c r="E237" s="833"/>
      <c r="F237" s="833"/>
      <c r="G237" s="833"/>
      <c r="H237" s="834"/>
      <c r="I237" s="834"/>
      <c r="J237" s="834"/>
      <c r="K237" s="834"/>
      <c r="L237" s="834"/>
      <c r="M237" s="834"/>
      <c r="N237" s="834"/>
      <c r="O237" s="834"/>
      <c r="P237" s="834"/>
      <c r="Q237" s="834"/>
      <c r="R237" s="834"/>
      <c r="S237" s="834"/>
      <c r="T237" s="834"/>
      <c r="U237" s="834"/>
      <c r="V237" s="834"/>
      <c r="W237" s="19"/>
    </row>
    <row r="238" spans="2:29" ht="100.5" customHeight="1" x14ac:dyDescent="0.25">
      <c r="B238" s="1418" t="s">
        <v>774</v>
      </c>
      <c r="C238" s="1418"/>
      <c r="D238" s="1418"/>
      <c r="E238" s="101"/>
      <c r="F238" s="101"/>
      <c r="G238" s="101"/>
      <c r="H238" s="99"/>
      <c r="I238" s="99"/>
      <c r="J238" s="99"/>
      <c r="K238" s="99"/>
      <c r="L238" s="99"/>
      <c r="M238" s="99"/>
      <c r="N238" s="99"/>
      <c r="O238" s="99"/>
      <c r="P238" s="99"/>
      <c r="Q238" s="99"/>
      <c r="R238" s="99"/>
      <c r="S238" s="99"/>
      <c r="T238" s="99"/>
      <c r="U238" s="99"/>
      <c r="V238" s="99"/>
      <c r="W238" s="20"/>
    </row>
    <row r="239" spans="2:29" s="316" customFormat="1" ht="147.5" customHeight="1" x14ac:dyDescent="0.3">
      <c r="B239" s="1419" t="s">
        <v>775</v>
      </c>
      <c r="C239" s="1419"/>
      <c r="D239" s="1419"/>
      <c r="AB239" s="2"/>
      <c r="AC239" s="2"/>
    </row>
    <row r="241" spans="2:10" ht="15.5" x14ac:dyDescent="0.35">
      <c r="B241" s="94" t="s">
        <v>780</v>
      </c>
    </row>
    <row r="242" spans="2:10" ht="15.5" x14ac:dyDescent="0.35">
      <c r="B242" s="754" t="s">
        <v>779</v>
      </c>
    </row>
    <row r="243" spans="2:10" x14ac:dyDescent="0.25">
      <c r="B243" s="2" t="s">
        <v>316</v>
      </c>
    </row>
    <row r="244" spans="2:10" ht="13" x14ac:dyDescent="0.3">
      <c r="B244" s="316" t="s">
        <v>781</v>
      </c>
    </row>
    <row r="245" spans="2:10" ht="13" x14ac:dyDescent="0.3">
      <c r="B245" s="699" t="s">
        <v>782</v>
      </c>
      <c r="C245" s="699">
        <v>28</v>
      </c>
    </row>
    <row r="247" spans="2:10" ht="13" thickBot="1" x14ac:dyDescent="0.3"/>
    <row r="248" spans="2:10" ht="13" customHeight="1" x14ac:dyDescent="0.25">
      <c r="B248" s="1262" t="s">
        <v>875</v>
      </c>
      <c r="C248" s="1263"/>
      <c r="D248" s="1263"/>
      <c r="E248" s="1263"/>
      <c r="F248" s="1263"/>
      <c r="G248" s="1263"/>
      <c r="H248" s="1263"/>
      <c r="I248" s="1263"/>
      <c r="J248" s="1264"/>
    </row>
    <row r="249" spans="2:10" ht="16" customHeight="1" x14ac:dyDescent="0.3">
      <c r="B249" s="1265" t="s">
        <v>871</v>
      </c>
      <c r="C249" s="1266"/>
      <c r="D249" s="1266"/>
      <c r="E249" s="1259" t="s">
        <v>876</v>
      </c>
      <c r="F249" s="1260"/>
      <c r="G249" s="1260"/>
      <c r="H249" s="1260"/>
      <c r="I249" s="1260"/>
      <c r="J249" s="1261"/>
    </row>
    <row r="250" spans="2:10" ht="13" x14ac:dyDescent="0.25">
      <c r="B250" s="1276" t="s">
        <v>877</v>
      </c>
      <c r="C250" s="1277"/>
      <c r="D250" s="1278"/>
      <c r="E250" s="880" t="s">
        <v>880</v>
      </c>
      <c r="J250" s="881"/>
    </row>
    <row r="251" spans="2:10" ht="34" customHeight="1" x14ac:dyDescent="0.25">
      <c r="B251" s="1279" t="s">
        <v>878</v>
      </c>
      <c r="C251" s="1137"/>
      <c r="D251" s="1280"/>
      <c r="E251" s="880" t="s">
        <v>881</v>
      </c>
      <c r="J251" s="881"/>
    </row>
    <row r="252" spans="2:10" ht="38.5" customHeight="1" x14ac:dyDescent="0.25">
      <c r="B252" s="1279" t="s">
        <v>879</v>
      </c>
      <c r="C252" s="1137"/>
      <c r="D252" s="1280"/>
      <c r="E252" s="880" t="s">
        <v>891</v>
      </c>
      <c r="J252" s="881"/>
    </row>
    <row r="253" spans="2:10" ht="13" x14ac:dyDescent="0.25">
      <c r="B253" s="882"/>
      <c r="D253" s="885"/>
      <c r="E253" s="880" t="s">
        <v>882</v>
      </c>
      <c r="J253" s="881"/>
    </row>
    <row r="254" spans="2:10" ht="13" x14ac:dyDescent="0.25">
      <c r="B254" s="882"/>
      <c r="D254" s="885"/>
      <c r="E254" s="880" t="s">
        <v>883</v>
      </c>
      <c r="J254" s="881"/>
    </row>
    <row r="255" spans="2:10" ht="13" x14ac:dyDescent="0.25">
      <c r="B255" s="882"/>
      <c r="D255" s="885"/>
      <c r="E255" s="880" t="s">
        <v>884</v>
      </c>
      <c r="J255" s="881"/>
    </row>
    <row r="256" spans="2:10" ht="13" x14ac:dyDescent="0.25">
      <c r="B256" s="882"/>
      <c r="D256" s="885"/>
      <c r="E256" s="880" t="s">
        <v>885</v>
      </c>
      <c r="J256" s="881"/>
    </row>
    <row r="257" spans="2:10" ht="13" x14ac:dyDescent="0.25">
      <c r="B257" s="882"/>
      <c r="D257" s="885"/>
      <c r="E257" s="880" t="s">
        <v>886</v>
      </c>
      <c r="J257" s="881"/>
    </row>
    <row r="258" spans="2:10" ht="14.5" x14ac:dyDescent="0.25">
      <c r="B258" s="882"/>
      <c r="D258" s="885"/>
      <c r="E258" s="880" t="s">
        <v>887</v>
      </c>
      <c r="J258" s="881"/>
    </row>
    <row r="259" spans="2:10" ht="14.5" x14ac:dyDescent="0.25">
      <c r="B259" s="882"/>
      <c r="D259" s="885"/>
      <c r="E259" s="880" t="s">
        <v>888</v>
      </c>
      <c r="J259" s="881"/>
    </row>
    <row r="260" spans="2:10" ht="13" x14ac:dyDescent="0.25">
      <c r="B260" s="882"/>
      <c r="D260" s="885"/>
      <c r="E260" s="880" t="s">
        <v>889</v>
      </c>
      <c r="J260" s="881"/>
    </row>
    <row r="261" spans="2:10" ht="13.5" thickBot="1" x14ac:dyDescent="0.3">
      <c r="B261" s="883"/>
      <c r="C261" s="228"/>
      <c r="D261" s="230"/>
      <c r="E261" s="884" t="s">
        <v>890</v>
      </c>
      <c r="F261" s="228"/>
      <c r="G261" s="228"/>
      <c r="H261" s="228"/>
      <c r="I261" s="228"/>
      <c r="J261" s="229"/>
    </row>
  </sheetData>
  <sheetProtection algorithmName="SHA-512" hashValue="MLwccqzo2VRDh/sxx8xMGWDGc7LB//Swqe2W4YwBuJU56PDAdlvw6eBOffiAZJBHqy7c/M/FH4Rx7r4tCmLA/g==" saltValue="kgvg1/oeYLmyhgibrr3kng==" spinCount="100000" sheet="1" objects="1" scenarios="1"/>
  <mergeCells count="283">
    <mergeCell ref="B238:D238"/>
    <mergeCell ref="B239:D239"/>
    <mergeCell ref="B233:D233"/>
    <mergeCell ref="B234:D234"/>
    <mergeCell ref="B235:D235"/>
    <mergeCell ref="B236:D236"/>
    <mergeCell ref="B237:D237"/>
    <mergeCell ref="B208:E208"/>
    <mergeCell ref="B209:E209"/>
    <mergeCell ref="B220:C220"/>
    <mergeCell ref="B219:C219"/>
    <mergeCell ref="B232:D232"/>
    <mergeCell ref="B192:D192"/>
    <mergeCell ref="B193:D193"/>
    <mergeCell ref="B194:D194"/>
    <mergeCell ref="B195:D195"/>
    <mergeCell ref="B196:D196"/>
    <mergeCell ref="B187:D187"/>
    <mergeCell ref="B188:D188"/>
    <mergeCell ref="B189:D189"/>
    <mergeCell ref="B190:D190"/>
    <mergeCell ref="B191:D191"/>
    <mergeCell ref="B204:E204"/>
    <mergeCell ref="B205:E205"/>
    <mergeCell ref="B206:E206"/>
    <mergeCell ref="B207:E207"/>
    <mergeCell ref="B198:D198"/>
    <mergeCell ref="B199:D199"/>
    <mergeCell ref="B200:D200"/>
    <mergeCell ref="B197:D197"/>
    <mergeCell ref="B203:D203"/>
    <mergeCell ref="B179:D180"/>
    <mergeCell ref="E179:E180"/>
    <mergeCell ref="B182:D182"/>
    <mergeCell ref="B183:D183"/>
    <mergeCell ref="B184:D184"/>
    <mergeCell ref="B185:D185"/>
    <mergeCell ref="B186:D186"/>
    <mergeCell ref="N173:R173"/>
    <mergeCell ref="N174:R174"/>
    <mergeCell ref="B181:D181"/>
    <mergeCell ref="N168:R168"/>
    <mergeCell ref="N169:R169"/>
    <mergeCell ref="N170:R170"/>
    <mergeCell ref="N171:R171"/>
    <mergeCell ref="N172:R172"/>
    <mergeCell ref="N149:R167"/>
    <mergeCell ref="C149:C151"/>
    <mergeCell ref="C152:C153"/>
    <mergeCell ref="C157:C158"/>
    <mergeCell ref="C160:C161"/>
    <mergeCell ref="C163:C164"/>
    <mergeCell ref="C166:C167"/>
    <mergeCell ref="J169:M169"/>
    <mergeCell ref="H156:I158"/>
    <mergeCell ref="J156:M158"/>
    <mergeCell ref="D159:M161"/>
    <mergeCell ref="D162:M164"/>
    <mergeCell ref="D165:G167"/>
    <mergeCell ref="H165:I167"/>
    <mergeCell ref="J165:M167"/>
    <mergeCell ref="N137:R137"/>
    <mergeCell ref="N136:R136"/>
    <mergeCell ref="N135:R135"/>
    <mergeCell ref="N134:R134"/>
    <mergeCell ref="N142:R142"/>
    <mergeCell ref="N141:R141"/>
    <mergeCell ref="N140:R140"/>
    <mergeCell ref="N139:R139"/>
    <mergeCell ref="N138:R138"/>
    <mergeCell ref="B143:B147"/>
    <mergeCell ref="N143:R147"/>
    <mergeCell ref="N148:R148"/>
    <mergeCell ref="B176:N176"/>
    <mergeCell ref="B134:C134"/>
    <mergeCell ref="B173:C173"/>
    <mergeCell ref="D173:G173"/>
    <mergeCell ref="H173:I173"/>
    <mergeCell ref="J173:M173"/>
    <mergeCell ref="B174:C174"/>
    <mergeCell ref="D174:G174"/>
    <mergeCell ref="H174:I174"/>
    <mergeCell ref="J174:M174"/>
    <mergeCell ref="B171:C171"/>
    <mergeCell ref="D171:M171"/>
    <mergeCell ref="B172:C172"/>
    <mergeCell ref="D172:G172"/>
    <mergeCell ref="H172:I172"/>
    <mergeCell ref="J172:M172"/>
    <mergeCell ref="B168:C168"/>
    <mergeCell ref="D168:M168"/>
    <mergeCell ref="B169:B170"/>
    <mergeCell ref="D169:G169"/>
    <mergeCell ref="H169:I169"/>
    <mergeCell ref="B140:C140"/>
    <mergeCell ref="D140:M140"/>
    <mergeCell ref="B141:C141"/>
    <mergeCell ref="D141:M141"/>
    <mergeCell ref="B142:C142"/>
    <mergeCell ref="D142:G142"/>
    <mergeCell ref="H142:I142"/>
    <mergeCell ref="J142:M142"/>
    <mergeCell ref="B138:C138"/>
    <mergeCell ref="D138:G138"/>
    <mergeCell ref="H138:I138"/>
    <mergeCell ref="J138:M138"/>
    <mergeCell ref="B139:C139"/>
    <mergeCell ref="D139:G139"/>
    <mergeCell ref="H139:I139"/>
    <mergeCell ref="J139:M139"/>
    <mergeCell ref="B136:C136"/>
    <mergeCell ref="D136:G136"/>
    <mergeCell ref="H136:I136"/>
    <mergeCell ref="J136:M136"/>
    <mergeCell ref="B137:C137"/>
    <mergeCell ref="D137:G137"/>
    <mergeCell ref="H137:I137"/>
    <mergeCell ref="J137:M137"/>
    <mergeCell ref="D134:M134"/>
    <mergeCell ref="B135:C135"/>
    <mergeCell ref="D135:G135"/>
    <mergeCell ref="H135:I135"/>
    <mergeCell ref="J135:M135"/>
    <mergeCell ref="B130:C133"/>
    <mergeCell ref="D130:M130"/>
    <mergeCell ref="D131:G131"/>
    <mergeCell ref="H131:I131"/>
    <mergeCell ref="J131:M131"/>
    <mergeCell ref="N130:R133"/>
    <mergeCell ref="B116:G116"/>
    <mergeCell ref="B118:G118"/>
    <mergeCell ref="B120:G120"/>
    <mergeCell ref="B122:G122"/>
    <mergeCell ref="B129:R129"/>
    <mergeCell ref="B112:C112"/>
    <mergeCell ref="B113:C113"/>
    <mergeCell ref="B114:C114"/>
    <mergeCell ref="B97:C97"/>
    <mergeCell ref="B99:C99"/>
    <mergeCell ref="B101:C101"/>
    <mergeCell ref="B102:C102"/>
    <mergeCell ref="B111:C111"/>
    <mergeCell ref="B107:C107"/>
    <mergeCell ref="B108:C108"/>
    <mergeCell ref="B109:C109"/>
    <mergeCell ref="B110:C110"/>
    <mergeCell ref="B103:C103"/>
    <mergeCell ref="B104:C104"/>
    <mergeCell ref="B105:C105"/>
    <mergeCell ref="B98:C98"/>
    <mergeCell ref="B100:C100"/>
    <mergeCell ref="B90:E90"/>
    <mergeCell ref="B85:E85"/>
    <mergeCell ref="B86:E86"/>
    <mergeCell ref="B87:E87"/>
    <mergeCell ref="B88:E88"/>
    <mergeCell ref="B89:E89"/>
    <mergeCell ref="B74:C74"/>
    <mergeCell ref="B75:C75"/>
    <mergeCell ref="B76:C76"/>
    <mergeCell ref="B78:E78"/>
    <mergeCell ref="B66:C66"/>
    <mergeCell ref="D31:I31"/>
    <mergeCell ref="D32:I32"/>
    <mergeCell ref="D33:I33"/>
    <mergeCell ref="D34:I34"/>
    <mergeCell ref="D35:I35"/>
    <mergeCell ref="B48:C48"/>
    <mergeCell ref="B49:C49"/>
    <mergeCell ref="D48:I48"/>
    <mergeCell ref="D49:I49"/>
    <mergeCell ref="B50:I50"/>
    <mergeCell ref="B51:I51"/>
    <mergeCell ref="B45:C45"/>
    <mergeCell ref="B46:C46"/>
    <mergeCell ref="B47:C47"/>
    <mergeCell ref="D44:I44"/>
    <mergeCell ref="D46:I46"/>
    <mergeCell ref="D47:I47"/>
    <mergeCell ref="B44:C44"/>
    <mergeCell ref="D36:I36"/>
    <mergeCell ref="D37:I37"/>
    <mergeCell ref="D39:I39"/>
    <mergeCell ref="D38:I38"/>
    <mergeCell ref="D40:I40"/>
    <mergeCell ref="D41:I41"/>
    <mergeCell ref="D42:I42"/>
    <mergeCell ref="D43:I43"/>
    <mergeCell ref="B36:B43"/>
    <mergeCell ref="D45:I45"/>
    <mergeCell ref="B26:C26"/>
    <mergeCell ref="D28:I28"/>
    <mergeCell ref="D29:I29"/>
    <mergeCell ref="D30:I30"/>
    <mergeCell ref="B8:C8"/>
    <mergeCell ref="B10:C10"/>
    <mergeCell ref="B12:C12"/>
    <mergeCell ref="B14:C14"/>
    <mergeCell ref="B16:C16"/>
    <mergeCell ref="B18:C18"/>
    <mergeCell ref="B20:C20"/>
    <mergeCell ref="B17:C17"/>
    <mergeCell ref="B19:C19"/>
    <mergeCell ref="B21:C21"/>
    <mergeCell ref="B22:C22"/>
    <mergeCell ref="B23:C23"/>
    <mergeCell ref="B25:C25"/>
    <mergeCell ref="D13:I13"/>
    <mergeCell ref="D14:I14"/>
    <mergeCell ref="D15:I15"/>
    <mergeCell ref="D22:I22"/>
    <mergeCell ref="B7:C7"/>
    <mergeCell ref="B24:C24"/>
    <mergeCell ref="D7:I7"/>
    <mergeCell ref="D8:I8"/>
    <mergeCell ref="B9:C9"/>
    <mergeCell ref="B13:C13"/>
    <mergeCell ref="B11:C11"/>
    <mergeCell ref="B15:C15"/>
    <mergeCell ref="B28:B31"/>
    <mergeCell ref="D16:I16"/>
    <mergeCell ref="D17:I17"/>
    <mergeCell ref="D9:I9"/>
    <mergeCell ref="D10:I10"/>
    <mergeCell ref="D12:I12"/>
    <mergeCell ref="D11:I11"/>
    <mergeCell ref="D23:I23"/>
    <mergeCell ref="D24:I24"/>
    <mergeCell ref="D25:I25"/>
    <mergeCell ref="D26:I26"/>
    <mergeCell ref="D27:I27"/>
    <mergeCell ref="D18:I18"/>
    <mergeCell ref="D19:I19"/>
    <mergeCell ref="D20:I20"/>
    <mergeCell ref="D21:I21"/>
    <mergeCell ref="B32:C32"/>
    <mergeCell ref="B34:C34"/>
    <mergeCell ref="B33:C33"/>
    <mergeCell ref="B27:C27"/>
    <mergeCell ref="B250:D250"/>
    <mergeCell ref="B251:D251"/>
    <mergeCell ref="B252:D252"/>
    <mergeCell ref="B57:C57"/>
    <mergeCell ref="B58:C58"/>
    <mergeCell ref="B94:C95"/>
    <mergeCell ref="B84:E84"/>
    <mergeCell ref="B148:C148"/>
    <mergeCell ref="B149:B167"/>
    <mergeCell ref="D149:M153"/>
    <mergeCell ref="D154:M155"/>
    <mergeCell ref="D156:G158"/>
    <mergeCell ref="B115:G115"/>
    <mergeCell ref="B117:G117"/>
    <mergeCell ref="B119:G119"/>
    <mergeCell ref="B121:G121"/>
    <mergeCell ref="B123:G123"/>
    <mergeCell ref="B96:C96"/>
    <mergeCell ref="B106:C106"/>
    <mergeCell ref="B59:C59"/>
    <mergeCell ref="B61:C61"/>
    <mergeCell ref="E249:J249"/>
    <mergeCell ref="B248:J248"/>
    <mergeCell ref="B249:D249"/>
    <mergeCell ref="B52:I52"/>
    <mergeCell ref="B53:I53"/>
    <mergeCell ref="B63:C63"/>
    <mergeCell ref="B77:E77"/>
    <mergeCell ref="B81:E81"/>
    <mergeCell ref="B83:E83"/>
    <mergeCell ref="B79:E79"/>
    <mergeCell ref="B80:E80"/>
    <mergeCell ref="B82:E82"/>
    <mergeCell ref="E94:E95"/>
    <mergeCell ref="G94:G95"/>
    <mergeCell ref="B60:C60"/>
    <mergeCell ref="B62:C62"/>
    <mergeCell ref="B69:C69"/>
    <mergeCell ref="B68:C68"/>
    <mergeCell ref="B70:C70"/>
    <mergeCell ref="B71:C71"/>
    <mergeCell ref="B72:C72"/>
    <mergeCell ref="B64:C64"/>
    <mergeCell ref="B65:C65"/>
  </mergeCells>
  <phoneticPr fontId="38"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S161"/>
  <sheetViews>
    <sheetView showGridLines="0" topLeftCell="A22" zoomScale="80" zoomScaleNormal="80" workbookViewId="0">
      <selection activeCell="F20" sqref="F20"/>
    </sheetView>
  </sheetViews>
  <sheetFormatPr defaultColWidth="8.83203125" defaultRowHeight="12.5" x14ac:dyDescent="0.25"/>
  <cols>
    <col min="1" max="1" width="4.58203125" style="2" customWidth="1"/>
    <col min="2" max="2" width="63.75" style="3" customWidth="1"/>
    <col min="3" max="3" width="25.08203125" style="3" customWidth="1"/>
    <col min="4" max="4" width="52.58203125" style="3" customWidth="1"/>
    <col min="5" max="5" width="29.5" style="49" bestFit="1" customWidth="1"/>
    <col min="6" max="6" width="31.5" style="49" bestFit="1" customWidth="1"/>
    <col min="7" max="7" width="26.58203125" style="49" bestFit="1" customWidth="1"/>
    <col min="8" max="8" width="29" style="49" bestFit="1" customWidth="1"/>
    <col min="9" max="19" width="8.83203125" style="49"/>
    <col min="20" max="16384" width="8.83203125" style="2"/>
  </cols>
  <sheetData>
    <row r="1" spans="1:19" ht="18" x14ac:dyDescent="0.4">
      <c r="B1" s="79" t="s">
        <v>368</v>
      </c>
      <c r="E1" s="2"/>
      <c r="F1" s="2"/>
      <c r="G1" s="2"/>
      <c r="H1" s="2"/>
      <c r="I1" s="2"/>
      <c r="J1" s="2"/>
      <c r="K1" s="2"/>
      <c r="L1" s="2"/>
      <c r="M1" s="2"/>
      <c r="N1" s="2"/>
      <c r="O1" s="2"/>
      <c r="P1" s="2"/>
      <c r="Q1" s="2"/>
      <c r="R1" s="2"/>
      <c r="S1" s="2"/>
    </row>
    <row r="2" spans="1:19" ht="13" x14ac:dyDescent="0.3">
      <c r="B2" s="8"/>
      <c r="E2" s="2"/>
      <c r="F2" s="2"/>
      <c r="G2" s="2"/>
      <c r="H2" s="2"/>
      <c r="I2" s="2"/>
      <c r="J2" s="2"/>
      <c r="K2" s="2"/>
      <c r="L2" s="2"/>
      <c r="M2" s="2"/>
      <c r="N2" s="2"/>
      <c r="O2" s="2"/>
      <c r="P2" s="2"/>
      <c r="Q2" s="2"/>
      <c r="R2" s="2"/>
      <c r="S2" s="2"/>
    </row>
    <row r="3" spans="1:19" ht="13" x14ac:dyDescent="0.3">
      <c r="B3" s="8" t="s">
        <v>369</v>
      </c>
      <c r="C3" s="80"/>
      <c r="E3" s="2"/>
      <c r="F3" s="2"/>
      <c r="G3" s="2"/>
      <c r="H3" s="2"/>
      <c r="I3" s="2"/>
      <c r="J3" s="2"/>
      <c r="K3" s="2"/>
      <c r="L3" s="2"/>
      <c r="M3" s="2"/>
      <c r="N3" s="2"/>
      <c r="O3" s="2"/>
      <c r="P3" s="2"/>
      <c r="Q3" s="2"/>
      <c r="R3" s="2"/>
      <c r="S3" s="2"/>
    </row>
    <row r="4" spans="1:19" ht="13" x14ac:dyDescent="0.3">
      <c r="B4" s="618" t="s">
        <v>370</v>
      </c>
      <c r="C4" s="619" t="s">
        <v>318</v>
      </c>
      <c r="D4" s="620"/>
      <c r="E4" s="2"/>
      <c r="F4" s="2"/>
      <c r="G4" s="2"/>
      <c r="H4" s="2"/>
      <c r="I4" s="2"/>
      <c r="J4" s="2"/>
      <c r="K4" s="2"/>
      <c r="L4" s="2"/>
      <c r="M4" s="2"/>
      <c r="N4" s="2"/>
      <c r="O4" s="2"/>
      <c r="P4" s="2"/>
      <c r="Q4" s="2"/>
      <c r="R4" s="2"/>
      <c r="S4" s="2"/>
    </row>
    <row r="5" spans="1:19" ht="13" x14ac:dyDescent="0.3">
      <c r="B5" s="621" t="s">
        <v>371</v>
      </c>
      <c r="C5" s="1077" t="s">
        <v>319</v>
      </c>
      <c r="D5" s="1078"/>
      <c r="E5" s="2"/>
      <c r="F5" s="2"/>
      <c r="G5" s="2"/>
      <c r="H5" s="2"/>
      <c r="I5" s="2"/>
      <c r="J5" s="2"/>
      <c r="K5" s="2"/>
      <c r="L5" s="2"/>
      <c r="M5" s="2"/>
      <c r="N5" s="2"/>
      <c r="O5" s="2"/>
      <c r="P5" s="2"/>
      <c r="Q5" s="2"/>
      <c r="R5" s="2"/>
      <c r="S5" s="2"/>
    </row>
    <row r="6" spans="1:19" ht="13" x14ac:dyDescent="0.3">
      <c r="B6" s="622" t="s">
        <v>372</v>
      </c>
      <c r="C6" s="1079" t="s">
        <v>320</v>
      </c>
      <c r="D6" s="1080"/>
      <c r="E6" s="2"/>
      <c r="F6" s="2"/>
      <c r="G6" s="2"/>
      <c r="H6" s="2"/>
      <c r="I6" s="2"/>
      <c r="J6" s="2"/>
      <c r="K6" s="2"/>
      <c r="L6" s="2"/>
      <c r="M6" s="2"/>
      <c r="N6" s="2"/>
      <c r="O6" s="2"/>
      <c r="P6" s="2"/>
      <c r="Q6" s="2"/>
      <c r="R6" s="2"/>
      <c r="S6" s="2"/>
    </row>
    <row r="7" spans="1:19" ht="13" x14ac:dyDescent="0.3">
      <c r="B7" s="78" t="s">
        <v>373</v>
      </c>
      <c r="E7" s="2"/>
      <c r="F7" s="2"/>
      <c r="G7" s="2"/>
      <c r="H7" s="2"/>
      <c r="I7" s="2"/>
      <c r="J7" s="2"/>
      <c r="K7" s="2"/>
      <c r="L7" s="2"/>
      <c r="M7" s="2"/>
      <c r="N7" s="2"/>
      <c r="O7" s="2"/>
      <c r="P7" s="2"/>
      <c r="Q7" s="2"/>
      <c r="R7" s="2"/>
      <c r="S7" s="2"/>
    </row>
    <row r="8" spans="1:19" ht="13" thickBot="1" x14ac:dyDescent="0.3">
      <c r="E8" s="2"/>
      <c r="F8" s="2"/>
      <c r="G8" s="2"/>
      <c r="H8" s="2"/>
      <c r="I8" s="2"/>
      <c r="J8" s="2"/>
      <c r="K8" s="2"/>
      <c r="L8" s="2"/>
      <c r="M8" s="2"/>
      <c r="N8" s="2"/>
      <c r="O8" s="2"/>
      <c r="P8" s="2"/>
      <c r="Q8" s="2"/>
      <c r="R8" s="2"/>
      <c r="S8" s="2"/>
    </row>
    <row r="9" spans="1:19" s="49" customFormat="1" ht="13" x14ac:dyDescent="0.3">
      <c r="A9" s="2"/>
      <c r="B9" s="1035" t="s">
        <v>374</v>
      </c>
      <c r="C9" s="1036">
        <f>'III. Datos Entrada-BE'!C24</f>
        <v>0</v>
      </c>
      <c r="D9" s="3"/>
      <c r="E9" s="2"/>
      <c r="F9" s="2"/>
      <c r="G9" s="2"/>
      <c r="H9" s="2"/>
      <c r="I9" s="2"/>
      <c r="J9" s="2"/>
      <c r="K9" s="2"/>
      <c r="L9" s="2"/>
      <c r="M9" s="2"/>
      <c r="N9" s="2"/>
      <c r="O9" s="2"/>
      <c r="P9" s="2"/>
      <c r="Q9" s="2"/>
      <c r="R9" s="2"/>
      <c r="S9" s="2"/>
    </row>
    <row r="10" spans="1:19" s="49" customFormat="1" ht="13" x14ac:dyDescent="0.3">
      <c r="A10" s="2"/>
      <c r="B10" s="702" t="s">
        <v>396</v>
      </c>
      <c r="C10" s="704">
        <f>'III. Datos Entrada-BE'!C25</f>
        <v>0</v>
      </c>
      <c r="D10" s="3"/>
      <c r="E10" s="2"/>
      <c r="F10" s="2"/>
      <c r="G10" s="2"/>
      <c r="H10" s="2"/>
      <c r="I10" s="2"/>
      <c r="J10" s="2"/>
      <c r="K10" s="2"/>
      <c r="L10" s="2"/>
      <c r="M10" s="2"/>
      <c r="N10" s="2"/>
      <c r="O10" s="2"/>
      <c r="P10" s="2"/>
      <c r="Q10" s="2"/>
      <c r="R10" s="2"/>
      <c r="S10" s="2"/>
    </row>
    <row r="11" spans="1:19" s="49" customFormat="1" ht="13.5" thickBot="1" x14ac:dyDescent="0.35">
      <c r="A11" s="2"/>
      <c r="B11" s="703" t="s">
        <v>397</v>
      </c>
      <c r="C11" s="1037">
        <f>'III. Datos Entrada-BE'!C26</f>
        <v>0</v>
      </c>
      <c r="D11" s="3"/>
      <c r="E11" s="2"/>
      <c r="F11" s="2"/>
      <c r="G11" s="2"/>
      <c r="H11" s="2"/>
      <c r="I11" s="2"/>
      <c r="J11" s="2"/>
      <c r="K11" s="2"/>
      <c r="L11" s="2"/>
      <c r="M11" s="2"/>
      <c r="N11" s="2"/>
      <c r="O11" s="2"/>
      <c r="P11" s="2"/>
      <c r="Q11" s="2"/>
      <c r="R11" s="2"/>
      <c r="S11" s="2"/>
    </row>
    <row r="12" spans="1:19" x14ac:dyDescent="0.25">
      <c r="E12" s="2"/>
      <c r="F12" s="2"/>
      <c r="G12" s="2"/>
      <c r="H12" s="2"/>
      <c r="I12" s="2"/>
      <c r="J12" s="2"/>
      <c r="K12" s="2"/>
      <c r="L12" s="2"/>
      <c r="M12" s="2"/>
      <c r="N12" s="2"/>
      <c r="O12" s="2"/>
      <c r="P12" s="2"/>
      <c r="Q12" s="2"/>
      <c r="R12" s="2"/>
      <c r="S12" s="2"/>
    </row>
    <row r="13" spans="1:19" ht="15.5" x14ac:dyDescent="0.35">
      <c r="B13" s="81" t="s">
        <v>375</v>
      </c>
      <c r="E13" s="2"/>
      <c r="F13" s="2"/>
      <c r="G13" s="2"/>
      <c r="H13" s="2"/>
      <c r="I13" s="2"/>
      <c r="J13" s="2"/>
      <c r="K13" s="2"/>
      <c r="L13" s="2"/>
      <c r="M13" s="2"/>
      <c r="N13" s="2"/>
      <c r="O13" s="2"/>
      <c r="P13" s="2"/>
      <c r="Q13" s="2"/>
      <c r="R13" s="2"/>
      <c r="S13" s="2"/>
    </row>
    <row r="14" spans="1:19" x14ac:dyDescent="0.25">
      <c r="E14" s="2"/>
      <c r="F14" s="2"/>
      <c r="G14" s="2"/>
      <c r="H14" s="2"/>
      <c r="I14" s="2"/>
      <c r="J14" s="2"/>
      <c r="K14" s="2"/>
      <c r="L14" s="2"/>
      <c r="M14" s="2"/>
      <c r="N14" s="2"/>
      <c r="O14" s="2"/>
      <c r="P14" s="2"/>
      <c r="Q14" s="2"/>
      <c r="R14" s="2"/>
      <c r="S14" s="2"/>
    </row>
    <row r="15" spans="1:19" ht="13.5" thickBot="1" x14ac:dyDescent="0.35">
      <c r="B15" s="8" t="s">
        <v>376</v>
      </c>
      <c r="E15" s="2"/>
      <c r="F15" s="2"/>
      <c r="G15" s="2"/>
      <c r="H15" s="2"/>
      <c r="I15" s="2"/>
      <c r="J15" s="2"/>
      <c r="K15" s="2"/>
      <c r="L15" s="2"/>
      <c r="M15" s="2"/>
      <c r="N15" s="2"/>
      <c r="O15" s="2"/>
      <c r="P15" s="2"/>
      <c r="Q15" s="2"/>
      <c r="R15" s="2"/>
      <c r="S15" s="2"/>
    </row>
    <row r="16" spans="1:19" s="9" customFormat="1" ht="15.5" thickBot="1" x14ac:dyDescent="0.45">
      <c r="B16" s="82" t="s">
        <v>377</v>
      </c>
      <c r="C16" s="28" t="s">
        <v>26</v>
      </c>
      <c r="D16" s="83" t="s">
        <v>27</v>
      </c>
    </row>
    <row r="17" spans="2:19" s="9" customFormat="1" ht="26" x14ac:dyDescent="0.3">
      <c r="B17" s="462" t="str">
        <f>'VII. Total BE CH4'!B17</f>
        <v>Vacas lecheras y no lecheras (en sistemas intensivos) 
Dairy and non-milking dairy cows (in intensive systems)</v>
      </c>
      <c r="C17" s="469">
        <f>'VII. Total BE CH4'!G17</f>
        <v>0</v>
      </c>
      <c r="D17" s="471">
        <f>'VII. Total BE CH4'!H17</f>
        <v>0</v>
      </c>
    </row>
    <row r="18" spans="2:19" s="9" customFormat="1" ht="26" x14ac:dyDescent="0.3">
      <c r="B18" s="462" t="str">
        <f>'VII. Total BE CH4'!B18</f>
        <v>Novillos/Novillos (en sistemas intensivos) 
Heifers/Steers (in intensive systems)</v>
      </c>
      <c r="C18" s="469">
        <f>'VII. Total BE CH4'!G18</f>
        <v>0</v>
      </c>
      <c r="D18" s="471">
        <f>'VII. Total BE CH4'!H18</f>
        <v>0</v>
      </c>
    </row>
    <row r="19" spans="2:19" s="9" customFormat="1" ht="26" x14ac:dyDescent="0.3">
      <c r="B19" s="462" t="str">
        <f>'VII. Total BE CH4'!B19</f>
        <v>Novillas de reemplazo/crecimiento (en pastos o pastizales) 
Replacement/growing heifers (in pasture or rangeland)</v>
      </c>
      <c r="C19" s="469">
        <f>'VII. Total BE CH4'!G19</f>
        <v>0</v>
      </c>
      <c r="D19" s="471">
        <f>'VII. Total BE CH4'!H19</f>
        <v>0</v>
      </c>
    </row>
    <row r="20" spans="2:19" s="9" customFormat="1" ht="26" x14ac:dyDescent="0.3">
      <c r="B20" s="462" t="str">
        <f>'VII. Total BE CH4'!B20</f>
        <v>Toros (pastoreo) 
Bulls (grazing)</v>
      </c>
      <c r="C20" s="469">
        <f>'VII. Total BE CH4'!G20</f>
        <v>0</v>
      </c>
      <c r="D20" s="471">
        <f>'VII. Total BE CH4'!H20</f>
        <v>0</v>
      </c>
    </row>
    <row r="21" spans="2:19" s="9" customFormat="1" ht="26" x14ac:dyDescent="0.3">
      <c r="B21" s="462" t="str">
        <f>'VII. Total BE CH4'!B21</f>
        <v>Terneros (en forraje, en pastos/pastizales) 
Calves (on forage, in pasture/rangeland)</v>
      </c>
      <c r="C21" s="469">
        <f>'VII. Total BE CH4'!G21</f>
        <v>0</v>
      </c>
      <c r="D21" s="471">
        <f>'VII. Total BE CH4'!H21</f>
        <v>0</v>
      </c>
    </row>
    <row r="22" spans="2:19" s="9" customFormat="1" ht="26" x14ac:dyDescent="0.3">
      <c r="B22" s="462" t="str">
        <f>'VII. Total BE CH4'!B22</f>
        <v>Terneros (en lechero, en pastos/pastizales) 
Calves (on milk, in pasture/rangeland)</v>
      </c>
      <c r="C22" s="469">
        <f>'VII. Total BE CH4'!G22</f>
        <v>0</v>
      </c>
      <c r="D22" s="471">
        <f>'VII. Total BE CH4'!H22</f>
        <v>0</v>
      </c>
    </row>
    <row r="23" spans="2:19" s="9" customFormat="1" ht="26" x14ac:dyDescent="0.3">
      <c r="B23" s="462" t="str">
        <f>'VII. Total BE CH4'!B23</f>
        <v>Novillas y novillos (en pastos/pastizales)
Heifers and Steers (in pasture/rangeland)</v>
      </c>
      <c r="C23" s="469">
        <f>'VII. Total BE CH4'!G23</f>
        <v>0</v>
      </c>
      <c r="D23" s="471">
        <f>'VII. Total BE CH4'!H23</f>
        <v>0</v>
      </c>
    </row>
    <row r="24" spans="2:19" s="9" customFormat="1" ht="26" x14ac:dyDescent="0.3">
      <c r="B24" s="462" t="str">
        <f>'VII. Total BE CH4'!B24</f>
        <v>Vacas (en pastos/pastizales) 
Cows (in pasture/rangeland)</v>
      </c>
      <c r="C24" s="469">
        <f>'VII. Total BE CH4'!G24</f>
        <v>0</v>
      </c>
      <c r="D24" s="471">
        <f>'VII. Total BE CH4'!H24</f>
        <v>0</v>
      </c>
    </row>
    <row r="25" spans="2:19" s="9" customFormat="1" ht="26" x14ac:dyDescent="0.3">
      <c r="B25" s="462" t="str">
        <f>'VII. Total BE CH4'!B25</f>
        <v>Cerdos de vivero 
Nursery swine</v>
      </c>
      <c r="C25" s="469">
        <f>'VII. Total BE CH4'!G25</f>
        <v>0</v>
      </c>
      <c r="D25" s="471">
        <f>'VII. Total BE CH4'!H25</f>
        <v>0</v>
      </c>
    </row>
    <row r="26" spans="2:19" ht="26.5" thickBot="1" x14ac:dyDescent="0.35">
      <c r="B26" s="464" t="str">
        <f>'VII. Total BE CH4'!B26</f>
        <v>Cerdos en crecimiento 
Growing swine</v>
      </c>
      <c r="C26" s="470">
        <f>'VII. Total BE CH4'!G26</f>
        <v>0</v>
      </c>
      <c r="D26" s="472">
        <f>'VII. Total BE CH4'!H26</f>
        <v>0</v>
      </c>
      <c r="E26" s="2"/>
      <c r="F26" s="2"/>
      <c r="G26" s="2"/>
      <c r="H26" s="2"/>
      <c r="I26" s="2"/>
      <c r="J26" s="2"/>
      <c r="K26" s="2"/>
      <c r="L26" s="2"/>
      <c r="M26" s="2"/>
      <c r="N26" s="2"/>
      <c r="O26" s="2"/>
      <c r="P26" s="2"/>
      <c r="Q26" s="2"/>
      <c r="R26" s="2"/>
      <c r="S26" s="2"/>
    </row>
    <row r="27" spans="2:19" x14ac:dyDescent="0.25">
      <c r="E27" s="2"/>
      <c r="F27" s="2"/>
      <c r="G27" s="2"/>
      <c r="H27" s="2"/>
      <c r="I27" s="2"/>
      <c r="J27" s="2"/>
      <c r="K27" s="2"/>
      <c r="L27" s="2"/>
      <c r="M27" s="2"/>
      <c r="N27" s="2"/>
      <c r="O27" s="2"/>
      <c r="P27" s="2"/>
      <c r="Q27" s="2"/>
      <c r="R27" s="2"/>
      <c r="S27" s="2"/>
    </row>
    <row r="28" spans="2:19" ht="13.5" thickBot="1" x14ac:dyDescent="0.35">
      <c r="B28" s="8" t="s">
        <v>378</v>
      </c>
      <c r="E28" s="2"/>
      <c r="F28" s="2"/>
      <c r="G28" s="2"/>
      <c r="H28" s="2"/>
      <c r="I28" s="2"/>
      <c r="J28" s="2"/>
      <c r="K28" s="2"/>
      <c r="L28" s="2"/>
      <c r="M28" s="2"/>
      <c r="N28" s="2"/>
      <c r="O28" s="2"/>
      <c r="P28" s="2"/>
      <c r="Q28" s="2"/>
      <c r="R28" s="2"/>
      <c r="S28" s="2"/>
    </row>
    <row r="29" spans="2:19" s="9" customFormat="1" ht="15.5" thickBot="1" x14ac:dyDescent="0.45">
      <c r="B29" s="82" t="s">
        <v>379</v>
      </c>
      <c r="C29" s="28" t="s">
        <v>28</v>
      </c>
      <c r="D29" s="83" t="s">
        <v>29</v>
      </c>
    </row>
    <row r="30" spans="2:19" s="9" customFormat="1" ht="13" x14ac:dyDescent="0.3">
      <c r="B30" s="460">
        <f>'VII. Total BE CH4'!B31</f>
        <v>0</v>
      </c>
      <c r="C30" s="461">
        <f>'VII. Total BE CH4'!C31</f>
        <v>0</v>
      </c>
      <c r="D30" s="466">
        <f>'VII. Total BE CH4'!D31</f>
        <v>0</v>
      </c>
    </row>
    <row r="31" spans="2:19" s="9" customFormat="1" ht="13" x14ac:dyDescent="0.3">
      <c r="B31" s="462">
        <f>'VII. Total BE CH4'!B32</f>
        <v>0</v>
      </c>
      <c r="C31" s="463">
        <f>'VII. Total BE CH4'!C32</f>
        <v>0</v>
      </c>
      <c r="D31" s="467">
        <f>'VII. Total BE CH4'!D32</f>
        <v>0</v>
      </c>
    </row>
    <row r="32" spans="2:19" s="9" customFormat="1" ht="13" x14ac:dyDescent="0.3">
      <c r="B32" s="462">
        <f>'VII. Total BE CH4'!B33</f>
        <v>0</v>
      </c>
      <c r="C32" s="463">
        <f>'VII. Total BE CH4'!C33</f>
        <v>0</v>
      </c>
      <c r="D32" s="467">
        <f>'VII. Total BE CH4'!D33</f>
        <v>0</v>
      </c>
    </row>
    <row r="33" spans="2:19" s="9" customFormat="1" ht="13" x14ac:dyDescent="0.3">
      <c r="B33" s="462">
        <f>'VII. Total BE CH4'!B34</f>
        <v>0</v>
      </c>
      <c r="C33" s="463">
        <f>'VII. Total BE CH4'!C34</f>
        <v>0</v>
      </c>
      <c r="D33" s="467">
        <f>'VII. Total BE CH4'!D34</f>
        <v>0</v>
      </c>
    </row>
    <row r="34" spans="2:19" s="9" customFormat="1" ht="13" x14ac:dyDescent="0.3">
      <c r="B34" s="462">
        <f>'VII. Total BE CH4'!B35</f>
        <v>0</v>
      </c>
      <c r="C34" s="463">
        <f>'VII. Total BE CH4'!C35</f>
        <v>0</v>
      </c>
      <c r="D34" s="467">
        <f>'VII. Total BE CH4'!D35</f>
        <v>0</v>
      </c>
    </row>
    <row r="35" spans="2:19" s="9" customFormat="1" ht="13" x14ac:dyDescent="0.3">
      <c r="B35" s="462">
        <f>'VII. Total BE CH4'!B36</f>
        <v>0</v>
      </c>
      <c r="C35" s="463">
        <f>'VII. Total BE CH4'!C36</f>
        <v>0</v>
      </c>
      <c r="D35" s="467">
        <f>'VII. Total BE CH4'!D36</f>
        <v>0</v>
      </c>
    </row>
    <row r="36" spans="2:19" s="9" customFormat="1" ht="13" x14ac:dyDescent="0.3">
      <c r="B36" s="462">
        <f>'VII. Total BE CH4'!B37</f>
        <v>0</v>
      </c>
      <c r="C36" s="463">
        <f>'VII. Total BE CH4'!C37</f>
        <v>0</v>
      </c>
      <c r="D36" s="467">
        <f>'VII. Total BE CH4'!D37</f>
        <v>0</v>
      </c>
    </row>
    <row r="37" spans="2:19" s="9" customFormat="1" ht="13" x14ac:dyDescent="0.3">
      <c r="B37" s="462">
        <f>'VII. Total BE CH4'!B38</f>
        <v>0</v>
      </c>
      <c r="C37" s="463">
        <f>'VII. Total BE CH4'!C38</f>
        <v>0</v>
      </c>
      <c r="D37" s="467">
        <f>'VII. Total BE CH4'!D38</f>
        <v>0</v>
      </c>
    </row>
    <row r="38" spans="2:19" s="9" customFormat="1" ht="13" x14ac:dyDescent="0.3">
      <c r="B38" s="462">
        <f>'VII. Total BE CH4'!B39</f>
        <v>0</v>
      </c>
      <c r="C38" s="463">
        <f>'VII. Total BE CH4'!C39</f>
        <v>0</v>
      </c>
      <c r="D38" s="467">
        <f>'VII. Total BE CH4'!D39</f>
        <v>0</v>
      </c>
    </row>
    <row r="39" spans="2:19" s="9" customFormat="1" ht="13" x14ac:dyDescent="0.3">
      <c r="B39" s="462">
        <f>'VII. Total BE CH4'!B40</f>
        <v>0</v>
      </c>
      <c r="C39" s="463">
        <f>'VII. Total BE CH4'!C40</f>
        <v>0</v>
      </c>
      <c r="D39" s="467">
        <f>'VII. Total BE CH4'!D40</f>
        <v>0</v>
      </c>
    </row>
    <row r="40" spans="2:19" s="9" customFormat="1" ht="13" x14ac:dyDescent="0.3">
      <c r="B40" s="462">
        <f>'VII. Total BE CH4'!B41</f>
        <v>0</v>
      </c>
      <c r="C40" s="463">
        <f>'VII. Total BE CH4'!C41</f>
        <v>0</v>
      </c>
      <c r="D40" s="467">
        <f>'VII. Total BE CH4'!D41</f>
        <v>0</v>
      </c>
    </row>
    <row r="41" spans="2:19" s="9" customFormat="1" ht="13" x14ac:dyDescent="0.3">
      <c r="B41" s="462">
        <f>'VII. Total BE CH4'!B42</f>
        <v>0</v>
      </c>
      <c r="C41" s="463">
        <f>'VII. Total BE CH4'!C42</f>
        <v>0</v>
      </c>
      <c r="D41" s="467">
        <f>'VII. Total BE CH4'!D42</f>
        <v>0</v>
      </c>
    </row>
    <row r="42" spans="2:19" ht="13.5" thickBot="1" x14ac:dyDescent="0.35">
      <c r="B42" s="464">
        <f>'VII. Total BE CH4'!B43</f>
        <v>0</v>
      </c>
      <c r="C42" s="465">
        <f>'VII. Total BE CH4'!C43</f>
        <v>0</v>
      </c>
      <c r="D42" s="468">
        <f>'VII. Total BE CH4'!D43</f>
        <v>0</v>
      </c>
      <c r="E42" s="2"/>
      <c r="F42" s="2"/>
      <c r="G42" s="2"/>
      <c r="H42" s="2"/>
      <c r="I42" s="2"/>
      <c r="J42" s="2"/>
      <c r="K42" s="2"/>
      <c r="L42" s="2"/>
      <c r="M42" s="2"/>
      <c r="N42" s="2"/>
      <c r="O42" s="2"/>
      <c r="P42" s="2"/>
      <c r="Q42" s="2"/>
      <c r="R42" s="2"/>
      <c r="S42" s="2"/>
    </row>
    <row r="43" spans="2:19" x14ac:dyDescent="0.25">
      <c r="E43" s="2"/>
      <c r="F43" s="2"/>
      <c r="G43" s="2"/>
      <c r="H43" s="2"/>
      <c r="I43" s="2"/>
      <c r="J43" s="2"/>
      <c r="K43" s="2"/>
      <c r="L43" s="2"/>
      <c r="M43" s="2"/>
      <c r="N43" s="2"/>
      <c r="O43" s="2"/>
      <c r="P43" s="2"/>
      <c r="Q43" s="2"/>
      <c r="R43" s="2"/>
      <c r="S43" s="2"/>
    </row>
    <row r="44" spans="2:19" s="9" customFormat="1" ht="13" x14ac:dyDescent="0.3">
      <c r="B44" s="78" t="s">
        <v>380</v>
      </c>
      <c r="C44" s="3"/>
      <c r="D44" s="3"/>
      <c r="E44" s="70"/>
    </row>
    <row r="45" spans="2:19" s="9" customFormat="1" ht="16" x14ac:dyDescent="0.4">
      <c r="B45" s="623" t="s">
        <v>30</v>
      </c>
      <c r="C45" s="624">
        <f>'VII. Total BE CH4'!C47</f>
        <v>0</v>
      </c>
      <c r="D45" s="84" t="s">
        <v>31</v>
      </c>
    </row>
    <row r="46" spans="2:19" s="9" customFormat="1" ht="16" x14ac:dyDescent="0.4">
      <c r="B46" s="623" t="s">
        <v>32</v>
      </c>
      <c r="C46" s="625">
        <f>'VII. Total BE CH4'!C48</f>
        <v>0</v>
      </c>
      <c r="D46" s="8" t="s">
        <v>33</v>
      </c>
    </row>
    <row r="47" spans="2:19" ht="13" x14ac:dyDescent="0.3">
      <c r="B47" s="78"/>
      <c r="C47" s="8"/>
      <c r="D47" s="8"/>
      <c r="E47" s="9"/>
      <c r="F47" s="2"/>
      <c r="G47" s="2"/>
      <c r="H47" s="2"/>
      <c r="I47" s="2"/>
      <c r="J47" s="2"/>
      <c r="K47" s="2"/>
      <c r="L47" s="2"/>
      <c r="M47" s="2"/>
      <c r="N47" s="2"/>
      <c r="O47" s="2"/>
      <c r="P47" s="2"/>
      <c r="Q47" s="2"/>
      <c r="R47" s="2"/>
      <c r="S47" s="2"/>
    </row>
    <row r="48" spans="2:19" s="9" customFormat="1" ht="15" x14ac:dyDescent="0.4">
      <c r="B48" s="8" t="s">
        <v>381</v>
      </c>
      <c r="C48" s="459"/>
      <c r="D48" s="3"/>
    </row>
    <row r="49" spans="1:19" ht="16" x14ac:dyDescent="0.4">
      <c r="B49" s="78"/>
      <c r="C49" s="626">
        <f>'XIII. CO2'!F44</f>
        <v>0</v>
      </c>
      <c r="D49" s="8" t="s">
        <v>34</v>
      </c>
      <c r="E49" s="2"/>
      <c r="F49" s="2"/>
      <c r="G49" s="2"/>
      <c r="H49" s="2"/>
      <c r="I49" s="2"/>
      <c r="J49" s="2"/>
      <c r="K49" s="2"/>
      <c r="L49" s="2"/>
      <c r="M49" s="2"/>
      <c r="N49" s="2"/>
      <c r="O49" s="2"/>
      <c r="P49" s="2"/>
      <c r="Q49" s="2"/>
      <c r="R49" s="2"/>
      <c r="S49" s="2"/>
    </row>
    <row r="50" spans="1:19" ht="15.5" x14ac:dyDescent="0.35">
      <c r="B50" s="81" t="s">
        <v>382</v>
      </c>
      <c r="E50" s="2"/>
      <c r="F50" s="2"/>
      <c r="G50" s="2"/>
      <c r="H50" s="2"/>
      <c r="I50" s="2"/>
      <c r="J50" s="2"/>
      <c r="K50" s="2"/>
      <c r="L50" s="2"/>
      <c r="M50" s="2"/>
      <c r="N50" s="2"/>
      <c r="O50" s="2"/>
      <c r="P50" s="2"/>
      <c r="Q50" s="2"/>
      <c r="R50" s="2"/>
      <c r="S50" s="2"/>
    </row>
    <row r="51" spans="1:19" x14ac:dyDescent="0.25">
      <c r="E51" s="2"/>
      <c r="F51" s="2"/>
      <c r="G51" s="2"/>
      <c r="H51" s="2"/>
      <c r="I51" s="2"/>
      <c r="J51" s="2"/>
      <c r="K51" s="2"/>
      <c r="L51" s="2"/>
      <c r="M51" s="2"/>
      <c r="N51" s="2"/>
      <c r="O51" s="2"/>
      <c r="P51" s="2"/>
      <c r="Q51" s="2"/>
      <c r="R51" s="2"/>
      <c r="S51" s="2"/>
    </row>
    <row r="52" spans="1:19" ht="13" x14ac:dyDescent="0.3">
      <c r="B52" s="8" t="s">
        <v>383</v>
      </c>
      <c r="E52" s="2"/>
      <c r="F52" s="2"/>
      <c r="G52" s="2"/>
      <c r="H52" s="2"/>
      <c r="I52" s="2"/>
      <c r="J52" s="2"/>
      <c r="K52" s="2"/>
      <c r="L52" s="2"/>
      <c r="M52" s="2"/>
      <c r="N52" s="2"/>
      <c r="O52" s="2"/>
      <c r="P52" s="2"/>
      <c r="Q52" s="2"/>
      <c r="R52" s="2"/>
      <c r="S52" s="2"/>
    </row>
    <row r="53" spans="1:19" ht="16" x14ac:dyDescent="0.4">
      <c r="B53" s="627" t="s">
        <v>35</v>
      </c>
      <c r="C53" s="628" t="e">
        <f>'XII. Total PE CH4'!C14</f>
        <v>#DIV/0!</v>
      </c>
      <c r="D53" s="84" t="s">
        <v>31</v>
      </c>
      <c r="E53" s="2"/>
      <c r="F53" s="2"/>
      <c r="G53" s="2"/>
      <c r="H53" s="2"/>
      <c r="I53" s="2"/>
      <c r="J53" s="2"/>
      <c r="K53" s="2"/>
      <c r="L53" s="2"/>
      <c r="M53" s="2"/>
      <c r="N53" s="2"/>
      <c r="O53" s="2"/>
      <c r="P53" s="2"/>
      <c r="Q53" s="2"/>
      <c r="R53" s="2"/>
      <c r="S53" s="2"/>
    </row>
    <row r="54" spans="1:19" ht="16" x14ac:dyDescent="0.4">
      <c r="B54" s="629" t="s">
        <v>36</v>
      </c>
      <c r="C54" s="628" t="e">
        <f>'VIII. PE CH4(BCS)'!K28</f>
        <v>#DIV/0!</v>
      </c>
      <c r="D54" s="8" t="s">
        <v>33</v>
      </c>
      <c r="E54" s="2"/>
      <c r="F54" s="2"/>
      <c r="G54" s="2"/>
      <c r="H54" s="2"/>
      <c r="I54" s="2"/>
      <c r="J54" s="2"/>
      <c r="K54" s="2"/>
      <c r="L54" s="2"/>
      <c r="M54" s="2"/>
      <c r="N54" s="2"/>
      <c r="O54" s="2"/>
      <c r="P54" s="2"/>
      <c r="Q54" s="2"/>
      <c r="R54" s="2"/>
      <c r="S54" s="2"/>
    </row>
    <row r="55" spans="1:19" ht="13" x14ac:dyDescent="0.25">
      <c r="B55" s="85"/>
      <c r="E55" s="2"/>
      <c r="F55" s="2"/>
      <c r="G55" s="2"/>
      <c r="H55" s="2"/>
      <c r="I55" s="2"/>
      <c r="J55" s="2"/>
      <c r="K55" s="2"/>
      <c r="L55" s="2"/>
      <c r="M55" s="2"/>
      <c r="N55" s="2"/>
      <c r="O55" s="2"/>
      <c r="P55" s="2"/>
      <c r="Q55" s="2"/>
      <c r="R55" s="2"/>
      <c r="S55" s="2"/>
    </row>
    <row r="56" spans="1:19" ht="13" x14ac:dyDescent="0.25">
      <c r="B56" s="85" t="s">
        <v>384</v>
      </c>
      <c r="E56" s="2"/>
      <c r="F56" s="2"/>
      <c r="G56" s="2"/>
      <c r="H56" s="2"/>
      <c r="I56" s="2"/>
      <c r="J56" s="2"/>
      <c r="K56" s="2"/>
      <c r="L56" s="2"/>
      <c r="M56" s="2"/>
      <c r="N56" s="2"/>
      <c r="O56" s="2"/>
      <c r="P56" s="2"/>
      <c r="Q56" s="2"/>
      <c r="R56" s="2"/>
      <c r="S56" s="2"/>
    </row>
    <row r="57" spans="1:19" ht="16" x14ac:dyDescent="0.4">
      <c r="B57" s="630" t="s">
        <v>37</v>
      </c>
      <c r="C57" s="631">
        <f>'IX. PE CH4(V)'!H32</f>
        <v>0</v>
      </c>
      <c r="D57" s="84" t="s">
        <v>31</v>
      </c>
      <c r="E57" s="2"/>
      <c r="F57" s="2"/>
      <c r="G57" s="2"/>
      <c r="H57" s="2"/>
      <c r="I57" s="2"/>
      <c r="J57" s="2"/>
      <c r="K57" s="2"/>
      <c r="L57" s="2"/>
      <c r="M57" s="2"/>
      <c r="N57" s="2"/>
      <c r="O57" s="2"/>
      <c r="P57" s="2"/>
      <c r="Q57" s="2"/>
      <c r="R57" s="2"/>
      <c r="S57" s="2"/>
    </row>
    <row r="58" spans="1:19" ht="16" x14ac:dyDescent="0.4">
      <c r="B58" s="630" t="s">
        <v>38</v>
      </c>
      <c r="C58" s="626">
        <f>'IX. PE CH4(V)'!I32</f>
        <v>0</v>
      </c>
      <c r="D58" s="8" t="s">
        <v>33</v>
      </c>
      <c r="E58" s="2"/>
      <c r="F58" s="2"/>
      <c r="G58" s="2"/>
      <c r="H58" s="2"/>
      <c r="I58" s="2"/>
      <c r="J58" s="2"/>
      <c r="K58" s="2"/>
      <c r="L58" s="2"/>
      <c r="M58" s="2"/>
      <c r="N58" s="2"/>
      <c r="O58" s="2"/>
      <c r="P58" s="2"/>
      <c r="Q58" s="2"/>
      <c r="R58" s="2"/>
      <c r="S58" s="2"/>
    </row>
    <row r="59" spans="1:19" ht="13" x14ac:dyDescent="0.25">
      <c r="B59" s="85"/>
      <c r="E59" s="2"/>
      <c r="F59" s="2"/>
      <c r="G59" s="2"/>
      <c r="H59" s="2"/>
      <c r="I59" s="2"/>
      <c r="J59" s="2"/>
      <c r="K59" s="2"/>
      <c r="L59" s="2"/>
      <c r="M59" s="2"/>
      <c r="N59" s="2"/>
      <c r="O59" s="2"/>
      <c r="P59" s="2"/>
      <c r="Q59" s="2"/>
      <c r="R59" s="2"/>
      <c r="S59" s="2"/>
    </row>
    <row r="60" spans="1:19" ht="13" x14ac:dyDescent="0.3">
      <c r="B60" s="8" t="s">
        <v>385</v>
      </c>
      <c r="E60" s="2"/>
      <c r="F60" s="2"/>
      <c r="G60" s="2"/>
      <c r="H60" s="2"/>
      <c r="I60" s="2"/>
      <c r="J60" s="2"/>
      <c r="K60" s="2"/>
      <c r="L60" s="2"/>
      <c r="M60" s="2"/>
      <c r="N60" s="2"/>
      <c r="O60" s="2"/>
      <c r="P60" s="2"/>
      <c r="Q60" s="2"/>
      <c r="R60" s="2"/>
      <c r="S60" s="2"/>
    </row>
    <row r="61" spans="1:19" ht="16" x14ac:dyDescent="0.4">
      <c r="B61" s="623" t="s">
        <v>39</v>
      </c>
      <c r="C61" s="631">
        <f>'XII. Total PE CH4'!C24</f>
        <v>0</v>
      </c>
      <c r="D61" s="84" t="s">
        <v>31</v>
      </c>
      <c r="E61" s="2"/>
      <c r="F61" s="2"/>
      <c r="G61" s="2"/>
      <c r="H61" s="2"/>
      <c r="I61" s="2"/>
      <c r="J61" s="2"/>
      <c r="K61" s="2"/>
      <c r="L61" s="2"/>
      <c r="M61" s="2"/>
      <c r="N61" s="2"/>
      <c r="O61" s="2"/>
      <c r="P61" s="2"/>
      <c r="Q61" s="2"/>
      <c r="R61" s="2"/>
      <c r="S61" s="2"/>
    </row>
    <row r="62" spans="1:19" ht="16" x14ac:dyDescent="0.4">
      <c r="B62" s="629" t="s">
        <v>40</v>
      </c>
      <c r="C62" s="626">
        <f>'X. PE CH4(EP)'!F18</f>
        <v>0</v>
      </c>
      <c r="D62" s="8" t="s">
        <v>33</v>
      </c>
      <c r="E62" s="2"/>
      <c r="F62" s="2"/>
      <c r="G62" s="2"/>
      <c r="H62" s="2"/>
      <c r="I62" s="2"/>
      <c r="J62" s="2"/>
      <c r="K62" s="2"/>
      <c r="L62" s="2"/>
      <c r="M62" s="2"/>
      <c r="N62" s="2"/>
      <c r="O62" s="2"/>
      <c r="P62" s="2"/>
      <c r="Q62" s="2"/>
      <c r="R62" s="2"/>
      <c r="S62" s="2"/>
    </row>
    <row r="63" spans="1:19" s="86" customFormat="1" ht="13" x14ac:dyDescent="0.25">
      <c r="A63" s="2"/>
      <c r="B63" s="85"/>
      <c r="C63" s="3"/>
      <c r="D63" s="3"/>
    </row>
    <row r="64" spans="1:19" ht="16.5" customHeight="1" x14ac:dyDescent="0.3">
      <c r="A64" s="86"/>
      <c r="B64" s="8" t="s">
        <v>386</v>
      </c>
      <c r="C64" s="87"/>
      <c r="D64" s="87"/>
      <c r="E64" s="2"/>
      <c r="F64" s="2"/>
      <c r="G64" s="2"/>
      <c r="H64" s="2"/>
      <c r="I64" s="2"/>
      <c r="J64" s="2"/>
      <c r="K64" s="2"/>
      <c r="L64" s="2"/>
      <c r="M64" s="2"/>
      <c r="N64" s="2"/>
      <c r="O64" s="2"/>
      <c r="P64" s="2"/>
      <c r="Q64" s="2"/>
      <c r="R64" s="2"/>
      <c r="S64" s="2"/>
    </row>
    <row r="65" spans="2:19" ht="16" x14ac:dyDescent="0.4">
      <c r="B65" s="623" t="s">
        <v>41</v>
      </c>
      <c r="C65" s="631">
        <f>'XII. Total PE CH4'!C29</f>
        <v>0</v>
      </c>
      <c r="D65" s="84" t="s">
        <v>31</v>
      </c>
      <c r="E65" s="2"/>
      <c r="F65" s="2"/>
      <c r="G65" s="2"/>
      <c r="H65" s="2"/>
      <c r="I65" s="2"/>
      <c r="J65" s="2"/>
      <c r="K65" s="2"/>
      <c r="L65" s="2"/>
      <c r="M65" s="2"/>
      <c r="N65" s="2"/>
      <c r="O65" s="2"/>
      <c r="P65" s="2"/>
      <c r="Q65" s="2"/>
      <c r="R65" s="2"/>
      <c r="S65" s="2"/>
    </row>
    <row r="66" spans="2:19" ht="16" x14ac:dyDescent="0.4">
      <c r="B66" s="629" t="s">
        <v>42</v>
      </c>
      <c r="C66" s="626">
        <f>'XI. PE CH4(nBCS)'!G229</f>
        <v>0</v>
      </c>
      <c r="D66" s="8" t="s">
        <v>33</v>
      </c>
      <c r="E66" s="2"/>
      <c r="F66" s="2"/>
      <c r="G66" s="2"/>
      <c r="H66" s="2"/>
      <c r="I66" s="2"/>
      <c r="J66" s="2"/>
      <c r="K66" s="2"/>
      <c r="L66" s="2"/>
      <c r="M66" s="2"/>
      <c r="N66" s="2"/>
      <c r="O66" s="2"/>
      <c r="P66" s="2"/>
      <c r="Q66" s="2"/>
      <c r="R66" s="2"/>
      <c r="S66" s="2"/>
    </row>
    <row r="67" spans="2:19" ht="13" x14ac:dyDescent="0.25">
      <c r="B67" s="85"/>
      <c r="E67" s="2"/>
      <c r="F67" s="2"/>
      <c r="G67" s="2"/>
      <c r="H67" s="2"/>
      <c r="I67" s="2"/>
      <c r="J67" s="2"/>
      <c r="K67" s="2"/>
      <c r="L67" s="2"/>
      <c r="M67" s="2"/>
      <c r="N67" s="2"/>
      <c r="O67" s="2"/>
      <c r="P67" s="2"/>
      <c r="Q67" s="2"/>
      <c r="R67" s="2"/>
      <c r="S67" s="2"/>
    </row>
    <row r="68" spans="2:19" ht="13" x14ac:dyDescent="0.3">
      <c r="B68" s="78" t="s">
        <v>387</v>
      </c>
      <c r="E68" s="2"/>
      <c r="F68" s="2"/>
      <c r="G68" s="2"/>
      <c r="H68" s="2"/>
      <c r="I68" s="2"/>
      <c r="J68" s="2"/>
      <c r="K68" s="2"/>
      <c r="L68" s="2"/>
      <c r="M68" s="2"/>
      <c r="N68" s="2"/>
      <c r="O68" s="2"/>
      <c r="P68" s="2"/>
      <c r="Q68" s="2"/>
      <c r="R68" s="2"/>
      <c r="S68" s="2"/>
    </row>
    <row r="69" spans="2:19" ht="16" x14ac:dyDescent="0.4">
      <c r="B69" s="623" t="s">
        <v>43</v>
      </c>
      <c r="C69" s="632" t="e">
        <f>'XII. Total PE CH4'!C35</f>
        <v>#DIV/0!</v>
      </c>
      <c r="D69" s="84" t="s">
        <v>31</v>
      </c>
      <c r="E69" s="2"/>
      <c r="F69" s="2"/>
      <c r="G69" s="2"/>
      <c r="H69" s="2"/>
      <c r="I69" s="2"/>
      <c r="J69" s="2"/>
      <c r="K69" s="2"/>
      <c r="L69" s="2"/>
      <c r="M69" s="2"/>
      <c r="N69" s="2"/>
      <c r="O69" s="2"/>
      <c r="P69" s="2"/>
      <c r="Q69" s="2"/>
      <c r="R69" s="2"/>
      <c r="S69" s="2"/>
    </row>
    <row r="70" spans="2:19" ht="16" x14ac:dyDescent="0.4">
      <c r="B70" s="623" t="s">
        <v>44</v>
      </c>
      <c r="C70" s="633" t="e">
        <f>'XII. Total PE CH4'!C36</f>
        <v>#DIV/0!</v>
      </c>
      <c r="D70" s="8" t="s">
        <v>33</v>
      </c>
      <c r="E70" s="2"/>
      <c r="F70" s="2"/>
      <c r="G70" s="2"/>
      <c r="H70" s="2"/>
      <c r="I70" s="2"/>
      <c r="J70" s="2"/>
      <c r="K70" s="2"/>
      <c r="L70" s="2"/>
      <c r="M70" s="2"/>
      <c r="N70" s="2"/>
      <c r="O70" s="2"/>
      <c r="P70" s="2"/>
      <c r="Q70" s="2"/>
      <c r="R70" s="2"/>
      <c r="S70" s="2"/>
    </row>
    <row r="71" spans="2:19" ht="13" x14ac:dyDescent="0.3">
      <c r="B71" s="85"/>
      <c r="E71" s="9"/>
      <c r="F71" s="2"/>
      <c r="G71" s="2"/>
      <c r="H71" s="2"/>
      <c r="I71" s="2"/>
      <c r="J71" s="2"/>
      <c r="K71" s="2"/>
      <c r="L71" s="2"/>
      <c r="M71" s="2"/>
      <c r="N71" s="2"/>
      <c r="O71" s="2"/>
      <c r="P71" s="2"/>
      <c r="Q71" s="2"/>
      <c r="R71" s="2"/>
      <c r="S71" s="2"/>
    </row>
    <row r="72" spans="2:19" ht="15" x14ac:dyDescent="0.4">
      <c r="B72" s="8" t="s">
        <v>388</v>
      </c>
      <c r="E72" s="2"/>
      <c r="F72" s="88"/>
      <c r="G72" s="2"/>
      <c r="H72" s="2"/>
      <c r="I72" s="2"/>
      <c r="J72" s="2"/>
      <c r="K72" s="2"/>
      <c r="L72" s="2"/>
      <c r="M72" s="2"/>
      <c r="N72" s="2"/>
      <c r="O72" s="2"/>
      <c r="P72" s="2"/>
      <c r="Q72" s="2"/>
      <c r="R72" s="2"/>
      <c r="S72" s="2"/>
    </row>
    <row r="73" spans="2:19" ht="13" x14ac:dyDescent="0.3">
      <c r="C73" s="626">
        <f>'XIII. CO2'!F87</f>
        <v>0</v>
      </c>
      <c r="E73" s="2"/>
      <c r="F73" s="2"/>
      <c r="G73" s="2"/>
      <c r="H73" s="2"/>
      <c r="I73" s="2"/>
      <c r="J73" s="2"/>
      <c r="K73" s="2"/>
      <c r="L73" s="2"/>
      <c r="M73" s="2"/>
      <c r="N73" s="2"/>
      <c r="O73" s="2"/>
      <c r="P73" s="2"/>
      <c r="Q73" s="2"/>
      <c r="R73" s="2"/>
      <c r="S73" s="2"/>
    </row>
    <row r="74" spans="2:19" ht="13" x14ac:dyDescent="0.3">
      <c r="C74" s="8"/>
      <c r="E74" s="2"/>
      <c r="F74" s="2"/>
      <c r="G74" s="2"/>
      <c r="H74" s="2"/>
      <c r="I74" s="2"/>
      <c r="J74" s="2"/>
      <c r="K74" s="2"/>
      <c r="L74" s="2"/>
      <c r="M74" s="2"/>
      <c r="N74" s="2"/>
      <c r="O74" s="2"/>
      <c r="P74" s="2"/>
      <c r="Q74" s="2"/>
      <c r="R74" s="2"/>
      <c r="S74" s="2"/>
    </row>
    <row r="75" spans="2:19" ht="13" x14ac:dyDescent="0.3">
      <c r="C75" s="8"/>
      <c r="E75" s="2"/>
      <c r="F75" s="2"/>
      <c r="G75" s="2"/>
      <c r="H75" s="2"/>
      <c r="I75" s="2"/>
      <c r="J75" s="2"/>
      <c r="K75" s="2"/>
      <c r="L75" s="2"/>
      <c r="M75" s="2"/>
      <c r="N75" s="2"/>
      <c r="O75" s="2"/>
      <c r="P75" s="2"/>
      <c r="Q75" s="2"/>
      <c r="R75" s="2"/>
      <c r="S75" s="2"/>
    </row>
    <row r="76" spans="2:19" ht="15.5" x14ac:dyDescent="0.35">
      <c r="B76" s="89" t="s">
        <v>389</v>
      </c>
      <c r="C76" s="90"/>
      <c r="D76" s="90"/>
      <c r="E76" s="2"/>
      <c r="F76" s="2"/>
      <c r="G76" s="2"/>
      <c r="H76" s="2"/>
      <c r="I76" s="2"/>
      <c r="J76" s="2"/>
      <c r="K76" s="2"/>
      <c r="L76" s="2"/>
      <c r="M76" s="2"/>
      <c r="N76" s="2"/>
      <c r="O76" s="2"/>
      <c r="P76" s="2"/>
      <c r="Q76" s="2"/>
      <c r="R76" s="2"/>
      <c r="S76" s="2"/>
    </row>
    <row r="77" spans="2:19" ht="13" x14ac:dyDescent="0.3">
      <c r="B77" s="8"/>
      <c r="C77" s="2"/>
      <c r="D77" s="2"/>
      <c r="E77" s="2"/>
      <c r="F77" s="2"/>
      <c r="G77" s="2"/>
      <c r="H77" s="2"/>
      <c r="I77" s="2"/>
      <c r="J77" s="2"/>
      <c r="K77" s="2"/>
      <c r="L77" s="2"/>
      <c r="M77" s="2"/>
      <c r="N77" s="2"/>
      <c r="O77" s="2"/>
      <c r="P77" s="2"/>
      <c r="Q77" s="2"/>
      <c r="R77" s="2"/>
      <c r="S77" s="2"/>
    </row>
    <row r="78" spans="2:19" ht="16" x14ac:dyDescent="0.4">
      <c r="B78" s="623" t="s">
        <v>45</v>
      </c>
      <c r="C78" s="634" t="e">
        <f>C45-C69</f>
        <v>#DIV/0!</v>
      </c>
      <c r="D78" s="84" t="s">
        <v>46</v>
      </c>
      <c r="E78" s="2"/>
      <c r="F78" s="2"/>
      <c r="G78" s="2"/>
      <c r="H78" s="2"/>
      <c r="I78" s="2"/>
      <c r="J78" s="2"/>
      <c r="K78" s="2"/>
      <c r="L78" s="2"/>
      <c r="M78" s="2"/>
      <c r="N78" s="2"/>
      <c r="O78" s="2"/>
      <c r="P78" s="2"/>
      <c r="Q78" s="2"/>
      <c r="R78" s="2"/>
      <c r="S78" s="2"/>
    </row>
    <row r="79" spans="2:19" ht="16" x14ac:dyDescent="0.4">
      <c r="B79" s="627" t="s">
        <v>47</v>
      </c>
      <c r="C79" s="635">
        <f>'VIII. PE CH4(BCS)'!L28</f>
        <v>0</v>
      </c>
      <c r="D79" s="84" t="s">
        <v>46</v>
      </c>
      <c r="E79" s="2"/>
      <c r="F79" s="2"/>
      <c r="G79" s="2"/>
      <c r="H79" s="2"/>
      <c r="I79" s="2"/>
      <c r="J79" s="2"/>
      <c r="K79" s="2"/>
      <c r="L79" s="2"/>
      <c r="M79" s="2"/>
      <c r="N79" s="2"/>
      <c r="O79" s="2"/>
      <c r="P79" s="2"/>
      <c r="Q79" s="2"/>
      <c r="R79" s="2"/>
      <c r="S79" s="2"/>
    </row>
    <row r="80" spans="2:19" ht="25" customHeight="1" x14ac:dyDescent="0.3">
      <c r="B80" s="1081" t="s">
        <v>390</v>
      </c>
      <c r="C80" s="1082"/>
      <c r="D80" s="84"/>
      <c r="E80" s="2"/>
      <c r="F80" s="2"/>
      <c r="G80" s="2"/>
      <c r="H80" s="2"/>
      <c r="I80" s="2"/>
      <c r="J80" s="2"/>
      <c r="K80" s="2"/>
      <c r="L80" s="2"/>
      <c r="M80" s="2"/>
      <c r="N80" s="2"/>
      <c r="O80" s="2"/>
      <c r="P80" s="2"/>
      <c r="Q80" s="2"/>
      <c r="R80" s="2"/>
      <c r="S80" s="2"/>
    </row>
    <row r="81" spans="2:19" ht="16" x14ac:dyDescent="0.4">
      <c r="B81" s="627" t="s">
        <v>391</v>
      </c>
      <c r="C81" s="634" t="e">
        <f>MIN(C78:C79)</f>
        <v>#DIV/0!</v>
      </c>
      <c r="D81" s="84" t="s">
        <v>46</v>
      </c>
      <c r="E81" s="2"/>
      <c r="F81" s="2"/>
      <c r="G81" s="2"/>
      <c r="H81" s="2"/>
      <c r="I81" s="2"/>
      <c r="J81" s="2"/>
      <c r="K81" s="2"/>
      <c r="L81" s="2"/>
      <c r="M81" s="2"/>
      <c r="N81" s="2"/>
      <c r="O81" s="2"/>
      <c r="P81" s="2"/>
      <c r="Q81" s="2"/>
      <c r="R81" s="2"/>
      <c r="S81" s="2"/>
    </row>
    <row r="82" spans="2:19" ht="16" x14ac:dyDescent="0.4">
      <c r="B82" s="627" t="s">
        <v>392</v>
      </c>
      <c r="C82" s="636" t="e">
        <f>C81*25</f>
        <v>#DIV/0!</v>
      </c>
      <c r="D82" s="78" t="s">
        <v>33</v>
      </c>
      <c r="E82" s="2"/>
      <c r="F82" s="2"/>
      <c r="G82" s="2"/>
      <c r="H82" s="2"/>
      <c r="I82" s="2"/>
      <c r="J82" s="2"/>
      <c r="K82" s="2"/>
      <c r="L82" s="2"/>
      <c r="M82" s="2"/>
      <c r="N82" s="2"/>
      <c r="O82" s="2"/>
      <c r="P82" s="2"/>
      <c r="Q82" s="2"/>
      <c r="R82" s="2"/>
      <c r="S82" s="2"/>
    </row>
    <row r="83" spans="2:19" ht="14.5" x14ac:dyDescent="0.35">
      <c r="B83" s="8"/>
      <c r="C83" s="91"/>
      <c r="D83" s="78"/>
      <c r="E83" s="473"/>
      <c r="F83" s="2"/>
      <c r="G83" s="2"/>
      <c r="H83" s="2"/>
      <c r="I83" s="2"/>
      <c r="J83" s="2"/>
      <c r="K83" s="2"/>
      <c r="L83" s="2"/>
      <c r="M83" s="2"/>
      <c r="N83" s="2"/>
      <c r="O83" s="2"/>
      <c r="P83" s="2"/>
      <c r="Q83" s="2"/>
      <c r="R83" s="2"/>
      <c r="S83" s="2"/>
    </row>
    <row r="84" spans="2:19" ht="13" x14ac:dyDescent="0.3">
      <c r="B84" s="8"/>
      <c r="C84" s="91"/>
      <c r="D84" s="78"/>
      <c r="E84" s="2"/>
      <c r="F84" s="2"/>
      <c r="G84" s="2"/>
      <c r="H84" s="2"/>
      <c r="I84" s="2"/>
      <c r="J84" s="2"/>
      <c r="K84" s="2"/>
      <c r="L84" s="2"/>
      <c r="M84" s="2"/>
      <c r="N84" s="2"/>
      <c r="O84" s="2"/>
      <c r="P84" s="2"/>
      <c r="Q84" s="2"/>
      <c r="R84" s="2"/>
      <c r="S84" s="2"/>
    </row>
    <row r="85" spans="2:19" x14ac:dyDescent="0.25">
      <c r="E85" s="2"/>
      <c r="F85" s="2"/>
      <c r="G85" s="2"/>
      <c r="H85" s="2"/>
      <c r="I85" s="2"/>
      <c r="J85" s="2"/>
      <c r="K85" s="2"/>
      <c r="L85" s="2"/>
      <c r="M85" s="2"/>
      <c r="N85" s="2"/>
      <c r="O85" s="2"/>
      <c r="P85" s="2"/>
      <c r="Q85" s="2"/>
      <c r="R85" s="2"/>
      <c r="S85" s="2"/>
    </row>
    <row r="86" spans="2:19" ht="15.5" x14ac:dyDescent="0.35">
      <c r="B86" s="89" t="s">
        <v>393</v>
      </c>
      <c r="E86" s="2"/>
      <c r="F86" s="2"/>
      <c r="G86" s="2"/>
      <c r="H86" s="2"/>
      <c r="I86" s="2"/>
      <c r="J86" s="2"/>
      <c r="K86" s="2"/>
      <c r="L86" s="2"/>
      <c r="M86" s="2"/>
      <c r="N86" s="2"/>
      <c r="O86" s="2"/>
      <c r="P86" s="2"/>
      <c r="Q86" s="2"/>
      <c r="R86" s="2"/>
      <c r="S86" s="2"/>
    </row>
    <row r="87" spans="2:19" ht="20.25" customHeight="1" thickBot="1" x14ac:dyDescent="0.35">
      <c r="B87" s="8"/>
      <c r="E87" s="2"/>
      <c r="F87" s="2"/>
      <c r="G87" s="2"/>
      <c r="H87" s="2"/>
      <c r="I87" s="2"/>
      <c r="J87" s="2"/>
      <c r="K87" s="2"/>
      <c r="L87" s="2"/>
      <c r="M87" s="2"/>
      <c r="N87" s="2"/>
      <c r="O87" s="2"/>
      <c r="P87" s="2"/>
      <c r="Q87" s="2"/>
      <c r="R87" s="2"/>
      <c r="S87" s="2"/>
    </row>
    <row r="88" spans="2:19" ht="16.5" thickBot="1" x14ac:dyDescent="0.45">
      <c r="B88" s="92" t="s">
        <v>394</v>
      </c>
      <c r="C88" s="93" t="e">
        <f>C82+(C49-C73)</f>
        <v>#DIV/0!</v>
      </c>
      <c r="D88" s="78" t="s">
        <v>33</v>
      </c>
      <c r="E88" s="2"/>
      <c r="F88" s="2"/>
      <c r="G88" s="2"/>
      <c r="H88" s="2"/>
      <c r="I88" s="2"/>
      <c r="J88" s="2"/>
      <c r="K88" s="2"/>
      <c r="L88" s="2"/>
      <c r="M88" s="2"/>
      <c r="N88" s="2"/>
      <c r="O88" s="2"/>
      <c r="P88" s="2"/>
      <c r="Q88" s="2"/>
      <c r="R88" s="2"/>
      <c r="S88" s="2"/>
    </row>
    <row r="89" spans="2:19" x14ac:dyDescent="0.25">
      <c r="E89" s="2"/>
      <c r="F89" s="2"/>
      <c r="G89" s="2"/>
      <c r="H89" s="2"/>
      <c r="I89" s="2"/>
      <c r="J89" s="2"/>
      <c r="K89" s="2"/>
      <c r="L89" s="2"/>
      <c r="M89" s="2"/>
      <c r="N89" s="2"/>
      <c r="O89" s="2"/>
      <c r="P89" s="2"/>
      <c r="Q89" s="2"/>
      <c r="R89" s="2"/>
      <c r="S89" s="2"/>
    </row>
    <row r="90" spans="2:19" ht="13" thickBot="1" x14ac:dyDescent="0.3">
      <c r="E90" s="2"/>
      <c r="F90" s="2"/>
      <c r="G90" s="2"/>
      <c r="H90" s="2"/>
      <c r="I90" s="2"/>
      <c r="J90" s="2"/>
      <c r="K90" s="2"/>
      <c r="L90" s="2"/>
      <c r="M90" s="2"/>
      <c r="N90" s="2"/>
      <c r="O90" s="2"/>
      <c r="P90" s="2"/>
      <c r="Q90" s="2"/>
      <c r="R90" s="2"/>
      <c r="S90" s="2"/>
    </row>
    <row r="91" spans="2:19" x14ac:dyDescent="0.25">
      <c r="B91" s="1083" t="s">
        <v>395</v>
      </c>
      <c r="C91" s="1084"/>
      <c r="D91" s="1085"/>
      <c r="E91" s="2"/>
      <c r="F91" s="2"/>
      <c r="G91" s="2"/>
      <c r="H91" s="2"/>
      <c r="I91" s="2"/>
      <c r="J91" s="2"/>
      <c r="K91" s="2"/>
      <c r="L91" s="2"/>
      <c r="M91" s="2"/>
      <c r="N91" s="2"/>
      <c r="O91" s="2"/>
      <c r="P91" s="2"/>
      <c r="Q91" s="2"/>
      <c r="R91" s="2"/>
      <c r="S91" s="2"/>
    </row>
    <row r="92" spans="2:19" x14ac:dyDescent="0.25">
      <c r="B92" s="1086"/>
      <c r="C92" s="1087"/>
      <c r="D92" s="1088"/>
      <c r="E92" s="2"/>
      <c r="F92" s="2"/>
      <c r="G92" s="2"/>
      <c r="H92" s="2"/>
      <c r="I92" s="2"/>
      <c r="J92" s="2"/>
      <c r="K92" s="2"/>
      <c r="L92" s="2"/>
      <c r="M92" s="2"/>
      <c r="N92" s="2"/>
      <c r="O92" s="2"/>
      <c r="P92" s="2"/>
      <c r="Q92" s="2"/>
      <c r="R92" s="2"/>
      <c r="S92" s="2"/>
    </row>
    <row r="93" spans="2:19" x14ac:dyDescent="0.25">
      <c r="B93" s="1086"/>
      <c r="C93" s="1087"/>
      <c r="D93" s="1088"/>
      <c r="E93" s="2"/>
      <c r="F93" s="2"/>
      <c r="G93" s="2"/>
      <c r="H93" s="2"/>
      <c r="I93" s="2"/>
      <c r="J93" s="2"/>
      <c r="K93" s="2"/>
      <c r="L93" s="2"/>
      <c r="M93" s="2"/>
      <c r="N93" s="2"/>
      <c r="O93" s="2"/>
      <c r="P93" s="2"/>
      <c r="Q93" s="2"/>
      <c r="R93" s="2"/>
      <c r="S93" s="2"/>
    </row>
    <row r="94" spans="2:19" x14ac:dyDescent="0.25">
      <c r="B94" s="1086"/>
      <c r="C94" s="1087"/>
      <c r="D94" s="1088"/>
      <c r="E94" s="2"/>
      <c r="F94" s="2"/>
      <c r="G94" s="2"/>
      <c r="H94" s="2"/>
      <c r="I94" s="2"/>
      <c r="J94" s="2"/>
      <c r="K94" s="2"/>
      <c r="L94" s="2"/>
      <c r="M94" s="2"/>
      <c r="N94" s="2"/>
      <c r="O94" s="2"/>
      <c r="P94" s="2"/>
      <c r="Q94" s="2"/>
      <c r="R94" s="2"/>
      <c r="S94" s="2"/>
    </row>
    <row r="95" spans="2:19" x14ac:dyDescent="0.25">
      <c r="B95" s="1086"/>
      <c r="C95" s="1087"/>
      <c r="D95" s="1088"/>
      <c r="E95" s="2"/>
      <c r="F95" s="2"/>
      <c r="G95" s="2"/>
      <c r="H95" s="2"/>
      <c r="I95" s="2"/>
      <c r="J95" s="2"/>
      <c r="K95" s="2"/>
      <c r="L95" s="2"/>
      <c r="M95" s="2"/>
      <c r="N95" s="2"/>
      <c r="O95" s="2"/>
      <c r="P95" s="2"/>
      <c r="Q95" s="2"/>
      <c r="R95" s="2"/>
      <c r="S95" s="2"/>
    </row>
    <row r="96" spans="2:19" x14ac:dyDescent="0.25">
      <c r="B96" s="1086"/>
      <c r="C96" s="1087"/>
      <c r="D96" s="1088"/>
      <c r="E96" s="2"/>
      <c r="F96" s="2"/>
      <c r="G96" s="2"/>
      <c r="H96" s="2"/>
      <c r="I96" s="2"/>
      <c r="J96" s="2"/>
      <c r="K96" s="2"/>
      <c r="L96" s="2"/>
      <c r="M96" s="2"/>
      <c r="N96" s="2"/>
      <c r="O96" s="2"/>
      <c r="P96" s="2"/>
      <c r="Q96" s="2"/>
      <c r="R96" s="2"/>
      <c r="S96" s="2"/>
    </row>
    <row r="97" spans="2:19" x14ac:dyDescent="0.25">
      <c r="B97" s="1086"/>
      <c r="C97" s="1087"/>
      <c r="D97" s="1088"/>
      <c r="E97" s="2"/>
      <c r="F97" s="2"/>
      <c r="G97" s="2"/>
      <c r="H97" s="2"/>
      <c r="I97" s="2"/>
      <c r="J97" s="2"/>
      <c r="K97" s="2"/>
      <c r="L97" s="2"/>
      <c r="M97" s="2"/>
      <c r="N97" s="2"/>
      <c r="O97" s="2"/>
      <c r="P97" s="2"/>
      <c r="Q97" s="2"/>
      <c r="R97" s="2"/>
      <c r="S97" s="2"/>
    </row>
    <row r="98" spans="2:19" x14ac:dyDescent="0.25">
      <c r="B98" s="1086"/>
      <c r="C98" s="1087"/>
      <c r="D98" s="1088"/>
      <c r="E98" s="2"/>
      <c r="F98" s="2"/>
      <c r="G98" s="2"/>
      <c r="H98" s="2"/>
      <c r="I98" s="2"/>
      <c r="J98" s="2"/>
      <c r="K98" s="2"/>
      <c r="L98" s="2"/>
      <c r="M98" s="2"/>
      <c r="N98" s="2"/>
      <c r="O98" s="2"/>
      <c r="P98" s="2"/>
      <c r="Q98" s="2"/>
      <c r="R98" s="2"/>
      <c r="S98" s="2"/>
    </row>
    <row r="99" spans="2:19" x14ac:dyDescent="0.25">
      <c r="B99" s="1086"/>
      <c r="C99" s="1087"/>
      <c r="D99" s="1088"/>
      <c r="E99" s="2"/>
      <c r="F99" s="2"/>
      <c r="G99" s="2"/>
      <c r="H99" s="2"/>
      <c r="I99" s="2"/>
      <c r="J99" s="2"/>
      <c r="K99" s="2"/>
      <c r="L99" s="2"/>
      <c r="M99" s="2"/>
      <c r="N99" s="2"/>
      <c r="O99" s="2"/>
      <c r="P99" s="2"/>
      <c r="Q99" s="2"/>
      <c r="R99" s="2"/>
      <c r="S99" s="2"/>
    </row>
    <row r="100" spans="2:19" x14ac:dyDescent="0.25">
      <c r="B100" s="1086"/>
      <c r="C100" s="1087"/>
      <c r="D100" s="1088"/>
      <c r="E100" s="2"/>
      <c r="F100" s="2"/>
      <c r="G100" s="2"/>
      <c r="H100" s="2"/>
      <c r="I100" s="2"/>
      <c r="J100" s="2"/>
      <c r="K100" s="2"/>
      <c r="L100" s="2"/>
      <c r="M100" s="2"/>
      <c r="N100" s="2"/>
      <c r="O100" s="2"/>
      <c r="P100" s="2"/>
      <c r="Q100" s="2"/>
      <c r="R100" s="2"/>
      <c r="S100" s="2"/>
    </row>
    <row r="101" spans="2:19" x14ac:dyDescent="0.25">
      <c r="B101" s="1086"/>
      <c r="C101" s="1087"/>
      <c r="D101" s="1088"/>
      <c r="E101" s="2"/>
      <c r="F101" s="2"/>
      <c r="G101" s="2"/>
      <c r="H101" s="2"/>
      <c r="I101" s="2"/>
      <c r="J101" s="2"/>
      <c r="K101" s="2"/>
      <c r="L101" s="2"/>
      <c r="M101" s="2"/>
      <c r="N101" s="2"/>
      <c r="O101" s="2"/>
      <c r="P101" s="2"/>
      <c r="Q101" s="2"/>
      <c r="R101" s="2"/>
      <c r="S101" s="2"/>
    </row>
    <row r="102" spans="2:19" x14ac:dyDescent="0.25">
      <c r="B102" s="1086"/>
      <c r="C102" s="1087"/>
      <c r="D102" s="1088"/>
      <c r="E102" s="2"/>
      <c r="F102" s="2"/>
      <c r="G102" s="2"/>
      <c r="H102" s="2"/>
      <c r="I102" s="2"/>
      <c r="J102" s="2"/>
      <c r="K102" s="2"/>
      <c r="L102" s="2"/>
      <c r="M102" s="2"/>
      <c r="N102" s="2"/>
      <c r="O102" s="2"/>
      <c r="P102" s="2"/>
      <c r="Q102" s="2"/>
      <c r="R102" s="2"/>
      <c r="S102" s="2"/>
    </row>
    <row r="103" spans="2:19" x14ac:dyDescent="0.25">
      <c r="B103" s="1086"/>
      <c r="C103" s="1087"/>
      <c r="D103" s="1088"/>
      <c r="E103" s="2"/>
      <c r="F103" s="2"/>
      <c r="G103" s="2"/>
      <c r="H103" s="2"/>
      <c r="I103" s="2"/>
      <c r="J103" s="2"/>
      <c r="K103" s="2"/>
      <c r="L103" s="2"/>
      <c r="M103" s="2"/>
      <c r="N103" s="2"/>
      <c r="O103" s="2"/>
      <c r="P103" s="2"/>
      <c r="Q103" s="2"/>
      <c r="R103" s="2"/>
      <c r="S103" s="2"/>
    </row>
    <row r="104" spans="2:19" x14ac:dyDescent="0.25">
      <c r="B104" s="1086"/>
      <c r="C104" s="1087"/>
      <c r="D104" s="1088"/>
      <c r="E104" s="2"/>
      <c r="F104" s="2"/>
      <c r="G104" s="2"/>
      <c r="H104" s="2"/>
      <c r="I104" s="2"/>
      <c r="J104" s="2"/>
      <c r="K104" s="2"/>
      <c r="L104" s="2"/>
      <c r="M104" s="2"/>
      <c r="N104" s="2"/>
      <c r="O104" s="2"/>
      <c r="P104" s="2"/>
      <c r="Q104" s="2"/>
      <c r="R104" s="2"/>
      <c r="S104" s="2"/>
    </row>
    <row r="105" spans="2:19" x14ac:dyDescent="0.25">
      <c r="B105" s="1086"/>
      <c r="C105" s="1087"/>
      <c r="D105" s="1088"/>
      <c r="E105" s="2"/>
      <c r="F105" s="2"/>
      <c r="G105" s="2"/>
      <c r="H105" s="2"/>
      <c r="I105" s="2"/>
      <c r="J105" s="2"/>
      <c r="K105" s="2"/>
      <c r="L105" s="2"/>
      <c r="M105" s="2"/>
      <c r="N105" s="2"/>
      <c r="O105" s="2"/>
      <c r="P105" s="2"/>
      <c r="Q105" s="2"/>
      <c r="R105" s="2"/>
      <c r="S105" s="2"/>
    </row>
    <row r="106" spans="2:19" x14ac:dyDescent="0.25">
      <c r="B106" s="1086"/>
      <c r="C106" s="1087"/>
      <c r="D106" s="1088"/>
      <c r="E106" s="2"/>
      <c r="F106" s="2"/>
      <c r="G106" s="2"/>
      <c r="H106" s="2"/>
      <c r="I106" s="2"/>
      <c r="J106" s="2"/>
      <c r="K106" s="2"/>
      <c r="L106" s="2"/>
      <c r="M106" s="2"/>
      <c r="N106" s="2"/>
      <c r="O106" s="2"/>
      <c r="P106" s="2"/>
      <c r="Q106" s="2"/>
      <c r="R106" s="2"/>
      <c r="S106" s="2"/>
    </row>
    <row r="107" spans="2:19" x14ac:dyDescent="0.25">
      <c r="B107" s="1086"/>
      <c r="C107" s="1087"/>
      <c r="D107" s="1088"/>
      <c r="E107" s="2"/>
      <c r="F107" s="2"/>
      <c r="G107" s="2"/>
      <c r="H107" s="2"/>
      <c r="I107" s="2"/>
      <c r="J107" s="2"/>
      <c r="K107" s="2"/>
      <c r="L107" s="2"/>
      <c r="M107" s="2"/>
      <c r="N107" s="2"/>
      <c r="O107" s="2"/>
      <c r="P107" s="2"/>
      <c r="Q107" s="2"/>
      <c r="R107" s="2"/>
      <c r="S107" s="2"/>
    </row>
    <row r="108" spans="2:19" x14ac:dyDescent="0.25">
      <c r="B108" s="1086"/>
      <c r="C108" s="1087"/>
      <c r="D108" s="1088"/>
      <c r="E108" s="2"/>
      <c r="F108" s="2"/>
      <c r="G108" s="2"/>
      <c r="H108" s="2"/>
      <c r="I108" s="2"/>
      <c r="J108" s="2"/>
      <c r="K108" s="2"/>
      <c r="L108" s="2"/>
      <c r="M108" s="2"/>
      <c r="N108" s="2"/>
      <c r="O108" s="2"/>
      <c r="P108" s="2"/>
      <c r="Q108" s="2"/>
      <c r="R108" s="2"/>
      <c r="S108" s="2"/>
    </row>
    <row r="109" spans="2:19" x14ac:dyDescent="0.25">
      <c r="B109" s="1086"/>
      <c r="C109" s="1087"/>
      <c r="D109" s="1088"/>
      <c r="E109" s="2"/>
      <c r="F109" s="2"/>
      <c r="G109" s="2"/>
      <c r="H109" s="2"/>
      <c r="I109" s="2"/>
      <c r="J109" s="2"/>
      <c r="K109" s="2"/>
      <c r="L109" s="2"/>
      <c r="M109" s="2"/>
      <c r="N109" s="2"/>
      <c r="O109" s="2"/>
      <c r="P109" s="2"/>
      <c r="Q109" s="2"/>
      <c r="R109" s="2"/>
      <c r="S109" s="2"/>
    </row>
    <row r="110" spans="2:19" ht="13" thickBot="1" x14ac:dyDescent="0.3">
      <c r="B110" s="1089"/>
      <c r="C110" s="1090"/>
      <c r="D110" s="1091"/>
      <c r="E110" s="2"/>
      <c r="F110" s="2"/>
      <c r="G110" s="2"/>
      <c r="H110" s="2"/>
      <c r="I110" s="2"/>
      <c r="J110" s="2"/>
      <c r="K110" s="2"/>
      <c r="L110" s="2"/>
      <c r="M110" s="2"/>
      <c r="N110" s="2"/>
      <c r="O110" s="2"/>
      <c r="P110" s="2"/>
      <c r="Q110" s="2"/>
      <c r="R110" s="2"/>
      <c r="S110" s="2"/>
    </row>
    <row r="111" spans="2:19" x14ac:dyDescent="0.25">
      <c r="E111" s="2"/>
      <c r="F111" s="2"/>
      <c r="G111" s="2"/>
      <c r="H111" s="2"/>
      <c r="I111" s="2"/>
      <c r="J111" s="2"/>
      <c r="K111" s="2"/>
      <c r="L111" s="2"/>
      <c r="M111" s="2"/>
      <c r="N111" s="2"/>
      <c r="O111" s="2"/>
      <c r="P111" s="2"/>
      <c r="Q111" s="2"/>
      <c r="R111" s="2"/>
      <c r="S111" s="2"/>
    </row>
    <row r="112" spans="2:19" x14ac:dyDescent="0.25">
      <c r="E112" s="2"/>
      <c r="F112" s="2"/>
      <c r="G112" s="2"/>
      <c r="H112" s="2"/>
      <c r="I112" s="2"/>
      <c r="J112" s="2"/>
      <c r="K112" s="2"/>
      <c r="L112" s="2"/>
      <c r="M112" s="2"/>
      <c r="N112" s="2"/>
      <c r="O112" s="2"/>
      <c r="P112" s="2"/>
      <c r="Q112" s="2"/>
      <c r="R112" s="2"/>
      <c r="S112" s="2"/>
    </row>
    <row r="113" spans="5:19" x14ac:dyDescent="0.25">
      <c r="E113" s="2"/>
      <c r="F113" s="2"/>
      <c r="G113" s="2"/>
      <c r="H113" s="2"/>
      <c r="I113" s="2"/>
      <c r="J113" s="2"/>
      <c r="K113" s="2"/>
      <c r="L113" s="2"/>
      <c r="M113" s="2"/>
      <c r="N113" s="2"/>
      <c r="O113" s="2"/>
      <c r="P113" s="2"/>
      <c r="Q113" s="2"/>
      <c r="R113" s="2"/>
      <c r="S113" s="2"/>
    </row>
    <row r="114" spans="5:19" x14ac:dyDescent="0.25">
      <c r="E114" s="2"/>
      <c r="F114" s="2"/>
      <c r="G114" s="2"/>
      <c r="H114" s="2"/>
      <c r="I114" s="2"/>
      <c r="J114" s="2"/>
      <c r="K114" s="2"/>
      <c r="L114" s="2"/>
      <c r="M114" s="2"/>
      <c r="N114" s="2"/>
      <c r="O114" s="2"/>
      <c r="P114" s="2"/>
      <c r="Q114" s="2"/>
      <c r="R114" s="2"/>
      <c r="S114" s="2"/>
    </row>
    <row r="115" spans="5:19" x14ac:dyDescent="0.25">
      <c r="E115" s="2"/>
      <c r="F115" s="2"/>
      <c r="G115" s="2"/>
      <c r="H115" s="2"/>
      <c r="I115" s="2"/>
      <c r="J115" s="2"/>
      <c r="K115" s="2"/>
      <c r="L115" s="2"/>
      <c r="M115" s="2"/>
      <c r="N115" s="2"/>
      <c r="O115" s="2"/>
      <c r="P115" s="2"/>
      <c r="Q115" s="2"/>
      <c r="R115" s="2"/>
      <c r="S115" s="2"/>
    </row>
    <row r="116" spans="5:19" x14ac:dyDescent="0.25">
      <c r="E116" s="2"/>
      <c r="F116" s="2"/>
      <c r="G116" s="2"/>
      <c r="H116" s="2"/>
      <c r="I116" s="2"/>
      <c r="J116" s="2"/>
      <c r="K116" s="2"/>
      <c r="L116" s="2"/>
      <c r="M116" s="2"/>
      <c r="N116" s="2"/>
      <c r="O116" s="2"/>
      <c r="P116" s="2"/>
      <c r="Q116" s="2"/>
      <c r="R116" s="2"/>
      <c r="S116" s="2"/>
    </row>
    <row r="117" spans="5:19" x14ac:dyDescent="0.25">
      <c r="E117" s="2"/>
      <c r="F117" s="2"/>
      <c r="G117" s="2"/>
      <c r="H117" s="2"/>
      <c r="I117" s="2"/>
      <c r="J117" s="2"/>
      <c r="K117" s="2"/>
      <c r="L117" s="2"/>
      <c r="M117" s="2"/>
      <c r="N117" s="2"/>
      <c r="O117" s="2"/>
      <c r="P117" s="2"/>
      <c r="Q117" s="2"/>
      <c r="R117" s="2"/>
      <c r="S117" s="2"/>
    </row>
    <row r="118" spans="5:19" x14ac:dyDescent="0.25">
      <c r="E118" s="2"/>
      <c r="F118" s="2"/>
      <c r="G118" s="2"/>
      <c r="H118" s="2"/>
      <c r="I118" s="2"/>
      <c r="J118" s="2"/>
      <c r="K118" s="2"/>
      <c r="L118" s="2"/>
      <c r="M118" s="2"/>
      <c r="N118" s="2"/>
      <c r="O118" s="2"/>
      <c r="P118" s="2"/>
      <c r="Q118" s="2"/>
      <c r="R118" s="2"/>
      <c r="S118" s="2"/>
    </row>
    <row r="119" spans="5:19" x14ac:dyDescent="0.25">
      <c r="E119" s="2"/>
      <c r="F119" s="2"/>
      <c r="G119" s="2"/>
      <c r="H119" s="2"/>
      <c r="I119" s="2"/>
      <c r="J119" s="2"/>
      <c r="K119" s="2"/>
      <c r="L119" s="2"/>
      <c r="M119" s="2"/>
      <c r="N119" s="2"/>
      <c r="O119" s="2"/>
      <c r="P119" s="2"/>
      <c r="Q119" s="2"/>
      <c r="R119" s="2"/>
      <c r="S119" s="2"/>
    </row>
    <row r="120" spans="5:19" x14ac:dyDescent="0.25">
      <c r="E120" s="2"/>
      <c r="F120" s="2"/>
      <c r="G120" s="2"/>
      <c r="H120" s="2"/>
      <c r="I120" s="2"/>
      <c r="J120" s="2"/>
      <c r="K120" s="2"/>
      <c r="L120" s="2"/>
      <c r="M120" s="2"/>
      <c r="N120" s="2"/>
      <c r="O120" s="2"/>
      <c r="P120" s="2"/>
      <c r="Q120" s="2"/>
      <c r="R120" s="2"/>
      <c r="S120" s="2"/>
    </row>
    <row r="121" spans="5:19" x14ac:dyDescent="0.25">
      <c r="E121" s="2"/>
      <c r="F121" s="2"/>
      <c r="G121" s="2"/>
      <c r="H121" s="2"/>
      <c r="I121" s="2"/>
      <c r="J121" s="2"/>
      <c r="K121" s="2"/>
      <c r="L121" s="2"/>
      <c r="M121" s="2"/>
      <c r="N121" s="2"/>
      <c r="O121" s="2"/>
      <c r="P121" s="2"/>
      <c r="Q121" s="2"/>
      <c r="R121" s="2"/>
      <c r="S121" s="2"/>
    </row>
    <row r="122" spans="5:19" x14ac:dyDescent="0.25">
      <c r="E122" s="2"/>
      <c r="F122" s="2"/>
      <c r="G122" s="2"/>
      <c r="H122" s="2"/>
      <c r="I122" s="2"/>
      <c r="J122" s="2"/>
      <c r="K122" s="2"/>
      <c r="L122" s="2"/>
      <c r="M122" s="2"/>
      <c r="N122" s="2"/>
      <c r="O122" s="2"/>
      <c r="P122" s="2"/>
      <c r="Q122" s="2"/>
      <c r="R122" s="2"/>
      <c r="S122" s="2"/>
    </row>
    <row r="123" spans="5:19" x14ac:dyDescent="0.25">
      <c r="E123" s="2"/>
      <c r="F123" s="2"/>
      <c r="G123" s="2"/>
      <c r="H123" s="2"/>
      <c r="I123" s="2"/>
      <c r="J123" s="2"/>
      <c r="K123" s="2"/>
      <c r="L123" s="2"/>
      <c r="M123" s="2"/>
      <c r="N123" s="2"/>
      <c r="O123" s="2"/>
      <c r="P123" s="2"/>
      <c r="Q123" s="2"/>
      <c r="R123" s="2"/>
      <c r="S123" s="2"/>
    </row>
    <row r="124" spans="5:19" x14ac:dyDescent="0.25">
      <c r="E124" s="2"/>
      <c r="F124" s="2"/>
      <c r="G124" s="2"/>
      <c r="H124" s="2"/>
      <c r="I124" s="2"/>
      <c r="J124" s="2"/>
      <c r="K124" s="2"/>
      <c r="L124" s="2"/>
      <c r="M124" s="2"/>
      <c r="N124" s="2"/>
      <c r="O124" s="2"/>
      <c r="P124" s="2"/>
      <c r="Q124" s="2"/>
      <c r="R124" s="2"/>
      <c r="S124" s="2"/>
    </row>
    <row r="125" spans="5:19" x14ac:dyDescent="0.25">
      <c r="E125" s="2"/>
      <c r="F125" s="2"/>
      <c r="G125" s="2"/>
      <c r="H125" s="2"/>
      <c r="I125" s="2"/>
      <c r="J125" s="2"/>
      <c r="K125" s="2"/>
      <c r="L125" s="2"/>
      <c r="M125" s="2"/>
      <c r="N125" s="2"/>
      <c r="O125" s="2"/>
      <c r="P125" s="2"/>
      <c r="Q125" s="2"/>
      <c r="R125" s="2"/>
      <c r="S125" s="2"/>
    </row>
    <row r="126" spans="5:19" x14ac:dyDescent="0.25">
      <c r="E126" s="2"/>
      <c r="F126" s="2"/>
      <c r="G126" s="2"/>
      <c r="H126" s="2"/>
      <c r="I126" s="2"/>
      <c r="J126" s="2"/>
      <c r="K126" s="2"/>
      <c r="L126" s="2"/>
      <c r="M126" s="2"/>
      <c r="N126" s="2"/>
      <c r="O126" s="2"/>
      <c r="P126" s="2"/>
      <c r="Q126" s="2"/>
      <c r="R126" s="2"/>
      <c r="S126" s="2"/>
    </row>
    <row r="127" spans="5:19" x14ac:dyDescent="0.25">
      <c r="E127" s="2"/>
      <c r="F127" s="2"/>
      <c r="G127" s="2"/>
      <c r="H127" s="2"/>
      <c r="I127" s="2"/>
      <c r="J127" s="2"/>
      <c r="K127" s="2"/>
      <c r="L127" s="2"/>
      <c r="M127" s="2"/>
      <c r="N127" s="2"/>
      <c r="O127" s="2"/>
      <c r="P127" s="2"/>
      <c r="Q127" s="2"/>
      <c r="R127" s="2"/>
      <c r="S127" s="2"/>
    </row>
    <row r="128" spans="5:19" x14ac:dyDescent="0.25">
      <c r="E128" s="2"/>
      <c r="F128" s="2"/>
      <c r="G128" s="2"/>
      <c r="H128" s="2"/>
      <c r="I128" s="2"/>
      <c r="J128" s="2"/>
      <c r="K128" s="2"/>
      <c r="L128" s="2"/>
      <c r="M128" s="2"/>
      <c r="N128" s="2"/>
      <c r="O128" s="2"/>
      <c r="P128" s="2"/>
      <c r="Q128" s="2"/>
      <c r="R128" s="2"/>
      <c r="S128" s="2"/>
    </row>
    <row r="129" spans="5:19" x14ac:dyDescent="0.25">
      <c r="E129" s="2"/>
      <c r="F129" s="2"/>
      <c r="G129" s="2"/>
      <c r="H129" s="2"/>
      <c r="I129" s="2"/>
      <c r="J129" s="2"/>
      <c r="K129" s="2"/>
      <c r="L129" s="2"/>
      <c r="M129" s="2"/>
      <c r="N129" s="2"/>
      <c r="O129" s="2"/>
      <c r="P129" s="2"/>
      <c r="Q129" s="2"/>
      <c r="R129" s="2"/>
      <c r="S129" s="2"/>
    </row>
    <row r="130" spans="5:19" x14ac:dyDescent="0.25">
      <c r="E130" s="2"/>
      <c r="F130" s="2"/>
      <c r="G130" s="2"/>
      <c r="H130" s="2"/>
      <c r="I130" s="2"/>
      <c r="J130" s="2"/>
      <c r="K130" s="2"/>
      <c r="L130" s="2"/>
      <c r="M130" s="2"/>
      <c r="N130" s="2"/>
      <c r="O130" s="2"/>
      <c r="P130" s="2"/>
      <c r="Q130" s="2"/>
      <c r="R130" s="2"/>
      <c r="S130" s="2"/>
    </row>
    <row r="131" spans="5:19" x14ac:dyDescent="0.25">
      <c r="E131" s="2"/>
      <c r="F131" s="2"/>
      <c r="G131" s="2"/>
      <c r="H131" s="2"/>
      <c r="I131" s="2"/>
      <c r="J131" s="2"/>
      <c r="K131" s="2"/>
      <c r="L131" s="2"/>
      <c r="M131" s="2"/>
      <c r="N131" s="2"/>
      <c r="O131" s="2"/>
      <c r="P131" s="2"/>
      <c r="Q131" s="2"/>
      <c r="R131" s="2"/>
      <c r="S131" s="2"/>
    </row>
    <row r="132" spans="5:19" x14ac:dyDescent="0.25">
      <c r="E132" s="2"/>
      <c r="F132" s="2"/>
      <c r="G132" s="2"/>
      <c r="H132" s="2"/>
      <c r="I132" s="2"/>
      <c r="J132" s="2"/>
      <c r="K132" s="2"/>
      <c r="L132" s="2"/>
      <c r="M132" s="2"/>
      <c r="N132" s="2"/>
      <c r="O132" s="2"/>
      <c r="P132" s="2"/>
      <c r="Q132" s="2"/>
      <c r="R132" s="2"/>
      <c r="S132" s="2"/>
    </row>
    <row r="133" spans="5:19" x14ac:dyDescent="0.25">
      <c r="E133" s="2"/>
      <c r="F133" s="2"/>
      <c r="G133" s="2"/>
      <c r="H133" s="2"/>
      <c r="I133" s="2"/>
      <c r="J133" s="2"/>
      <c r="K133" s="2"/>
      <c r="L133" s="2"/>
      <c r="M133" s="2"/>
      <c r="N133" s="2"/>
      <c r="O133" s="2"/>
      <c r="P133" s="2"/>
      <c r="Q133" s="2"/>
      <c r="R133" s="2"/>
      <c r="S133" s="2"/>
    </row>
    <row r="134" spans="5:19" x14ac:dyDescent="0.25">
      <c r="E134" s="2"/>
      <c r="F134" s="2"/>
      <c r="G134" s="2"/>
      <c r="H134" s="2"/>
      <c r="I134" s="2"/>
      <c r="J134" s="2"/>
      <c r="K134" s="2"/>
      <c r="L134" s="2"/>
      <c r="M134" s="2"/>
      <c r="N134" s="2"/>
      <c r="O134" s="2"/>
      <c r="P134" s="2"/>
      <c r="Q134" s="2"/>
      <c r="R134" s="2"/>
      <c r="S134" s="2"/>
    </row>
    <row r="135" spans="5:19" x14ac:dyDescent="0.25">
      <c r="E135" s="2"/>
      <c r="F135" s="2"/>
      <c r="G135" s="2"/>
      <c r="H135" s="2"/>
      <c r="I135" s="2"/>
      <c r="J135" s="2"/>
      <c r="K135" s="2"/>
      <c r="L135" s="2"/>
      <c r="M135" s="2"/>
      <c r="N135" s="2"/>
      <c r="O135" s="2"/>
      <c r="P135" s="2"/>
      <c r="Q135" s="2"/>
      <c r="R135" s="2"/>
      <c r="S135" s="2"/>
    </row>
    <row r="136" spans="5:19" x14ac:dyDescent="0.25">
      <c r="E136" s="2"/>
      <c r="F136" s="2"/>
      <c r="G136" s="2"/>
      <c r="H136" s="2"/>
      <c r="I136" s="2"/>
      <c r="J136" s="2"/>
      <c r="K136" s="2"/>
      <c r="L136" s="2"/>
      <c r="M136" s="2"/>
      <c r="N136" s="2"/>
      <c r="O136" s="2"/>
      <c r="P136" s="2"/>
      <c r="Q136" s="2"/>
      <c r="R136" s="2"/>
      <c r="S136" s="2"/>
    </row>
    <row r="137" spans="5:19" x14ac:dyDescent="0.25">
      <c r="E137" s="2"/>
      <c r="F137" s="2"/>
      <c r="G137" s="2"/>
      <c r="H137" s="2"/>
      <c r="I137" s="2"/>
      <c r="J137" s="2"/>
      <c r="K137" s="2"/>
      <c r="L137" s="2"/>
      <c r="M137" s="2"/>
      <c r="N137" s="2"/>
      <c r="O137" s="2"/>
      <c r="P137" s="2"/>
      <c r="Q137" s="2"/>
      <c r="R137" s="2"/>
      <c r="S137" s="2"/>
    </row>
    <row r="138" spans="5:19" x14ac:dyDescent="0.25">
      <c r="E138" s="2"/>
      <c r="F138" s="2"/>
      <c r="G138" s="2"/>
      <c r="H138" s="2"/>
      <c r="I138" s="2"/>
      <c r="J138" s="2"/>
      <c r="K138" s="2"/>
      <c r="L138" s="2"/>
      <c r="M138" s="2"/>
      <c r="N138" s="2"/>
      <c r="O138" s="2"/>
      <c r="P138" s="2"/>
      <c r="Q138" s="2"/>
      <c r="R138" s="2"/>
      <c r="S138" s="2"/>
    </row>
    <row r="139" spans="5:19" x14ac:dyDescent="0.25">
      <c r="E139" s="2"/>
      <c r="F139" s="2"/>
      <c r="G139" s="2"/>
      <c r="H139" s="2"/>
      <c r="I139" s="2"/>
      <c r="J139" s="2"/>
      <c r="K139" s="2"/>
      <c r="L139" s="2"/>
      <c r="M139" s="2"/>
      <c r="N139" s="2"/>
      <c r="O139" s="2"/>
      <c r="P139" s="2"/>
      <c r="Q139" s="2"/>
      <c r="R139" s="2"/>
      <c r="S139" s="2"/>
    </row>
    <row r="140" spans="5:19" x14ac:dyDescent="0.25">
      <c r="E140" s="2"/>
      <c r="F140" s="2"/>
      <c r="G140" s="2"/>
      <c r="H140" s="2"/>
      <c r="I140" s="2"/>
      <c r="J140" s="2"/>
      <c r="K140" s="2"/>
      <c r="L140" s="2"/>
      <c r="M140" s="2"/>
      <c r="N140" s="2"/>
      <c r="O140" s="2"/>
      <c r="P140" s="2"/>
      <c r="Q140" s="2"/>
      <c r="R140" s="2"/>
      <c r="S140" s="2"/>
    </row>
    <row r="141" spans="5:19" x14ac:dyDescent="0.25">
      <c r="E141" s="2"/>
      <c r="F141" s="2"/>
      <c r="G141" s="2"/>
      <c r="H141" s="2"/>
      <c r="I141" s="2"/>
      <c r="J141" s="2"/>
      <c r="K141" s="2"/>
      <c r="L141" s="2"/>
      <c r="M141" s="2"/>
      <c r="N141" s="2"/>
      <c r="O141" s="2"/>
      <c r="P141" s="2"/>
      <c r="Q141" s="2"/>
      <c r="R141" s="2"/>
      <c r="S141" s="2"/>
    </row>
    <row r="142" spans="5:19" x14ac:dyDescent="0.25">
      <c r="E142" s="2"/>
      <c r="F142" s="2"/>
      <c r="G142" s="2"/>
      <c r="H142" s="2"/>
      <c r="I142" s="2"/>
      <c r="J142" s="2"/>
      <c r="K142" s="2"/>
      <c r="L142" s="2"/>
      <c r="M142" s="2"/>
      <c r="N142" s="2"/>
      <c r="O142" s="2"/>
      <c r="P142" s="2"/>
      <c r="Q142" s="2"/>
      <c r="R142" s="2"/>
      <c r="S142" s="2"/>
    </row>
    <row r="143" spans="5:19" x14ac:dyDescent="0.25">
      <c r="E143" s="2"/>
      <c r="F143" s="2"/>
      <c r="G143" s="2"/>
      <c r="H143" s="2"/>
      <c r="I143" s="2"/>
      <c r="J143" s="2"/>
      <c r="K143" s="2"/>
      <c r="L143" s="2"/>
      <c r="M143" s="2"/>
      <c r="N143" s="2"/>
      <c r="O143" s="2"/>
      <c r="P143" s="2"/>
      <c r="Q143" s="2"/>
      <c r="R143" s="2"/>
      <c r="S143" s="2"/>
    </row>
    <row r="144" spans="5:19" x14ac:dyDescent="0.25">
      <c r="E144" s="2"/>
      <c r="F144" s="2"/>
      <c r="G144" s="2"/>
      <c r="H144" s="2"/>
      <c r="I144" s="2"/>
      <c r="J144" s="2"/>
      <c r="K144" s="2"/>
      <c r="L144" s="2"/>
      <c r="M144" s="2"/>
      <c r="N144" s="2"/>
      <c r="O144" s="2"/>
      <c r="P144" s="2"/>
      <c r="Q144" s="2"/>
      <c r="R144" s="2"/>
      <c r="S144" s="2"/>
    </row>
    <row r="145" spans="5:19" x14ac:dyDescent="0.25">
      <c r="E145" s="2"/>
      <c r="F145" s="2"/>
      <c r="G145" s="2"/>
      <c r="H145" s="2"/>
      <c r="I145" s="2"/>
      <c r="J145" s="2"/>
      <c r="K145" s="2"/>
      <c r="L145" s="2"/>
      <c r="M145" s="2"/>
      <c r="N145" s="2"/>
      <c r="O145" s="2"/>
      <c r="P145" s="2"/>
      <c r="Q145" s="2"/>
      <c r="R145" s="2"/>
      <c r="S145" s="2"/>
    </row>
    <row r="146" spans="5:19" x14ac:dyDescent="0.25">
      <c r="E146" s="2"/>
      <c r="F146" s="2"/>
      <c r="G146" s="2"/>
      <c r="H146" s="2"/>
      <c r="I146" s="2"/>
      <c r="J146" s="2"/>
      <c r="K146" s="2"/>
      <c r="L146" s="2"/>
      <c r="M146" s="2"/>
      <c r="N146" s="2"/>
      <c r="O146" s="2"/>
      <c r="P146" s="2"/>
      <c r="Q146" s="2"/>
      <c r="R146" s="2"/>
      <c r="S146" s="2"/>
    </row>
    <row r="147" spans="5:19" x14ac:dyDescent="0.25">
      <c r="E147" s="2"/>
      <c r="F147" s="2"/>
      <c r="G147" s="2"/>
      <c r="H147" s="2"/>
      <c r="I147" s="2"/>
      <c r="J147" s="2"/>
      <c r="K147" s="2"/>
      <c r="L147" s="2"/>
      <c r="M147" s="2"/>
      <c r="N147" s="2"/>
      <c r="O147" s="2"/>
      <c r="P147" s="2"/>
      <c r="Q147" s="2"/>
      <c r="R147" s="2"/>
      <c r="S147" s="2"/>
    </row>
    <row r="148" spans="5:19" x14ac:dyDescent="0.25">
      <c r="E148" s="2"/>
      <c r="F148" s="2"/>
      <c r="G148" s="2"/>
      <c r="H148" s="2"/>
      <c r="I148" s="2"/>
      <c r="J148" s="2"/>
      <c r="K148" s="2"/>
      <c r="L148" s="2"/>
      <c r="M148" s="2"/>
      <c r="N148" s="2"/>
      <c r="O148" s="2"/>
      <c r="P148" s="2"/>
      <c r="Q148" s="2"/>
      <c r="R148" s="2"/>
      <c r="S148" s="2"/>
    </row>
    <row r="149" spans="5:19" x14ac:dyDescent="0.25">
      <c r="E149" s="2"/>
      <c r="F149" s="2"/>
      <c r="G149" s="2"/>
      <c r="H149" s="2"/>
      <c r="I149" s="2"/>
      <c r="J149" s="2"/>
      <c r="K149" s="2"/>
      <c r="L149" s="2"/>
      <c r="M149" s="2"/>
      <c r="N149" s="2"/>
      <c r="O149" s="2"/>
      <c r="P149" s="2"/>
      <c r="Q149" s="2"/>
      <c r="R149" s="2"/>
      <c r="S149" s="2"/>
    </row>
    <row r="150" spans="5:19" x14ac:dyDescent="0.25">
      <c r="E150" s="2"/>
      <c r="F150" s="2"/>
      <c r="G150" s="2"/>
      <c r="H150" s="2"/>
      <c r="I150" s="2"/>
      <c r="J150" s="2"/>
      <c r="K150" s="2"/>
      <c r="L150" s="2"/>
      <c r="M150" s="2"/>
      <c r="N150" s="2"/>
      <c r="O150" s="2"/>
      <c r="P150" s="2"/>
      <c r="Q150" s="2"/>
      <c r="R150" s="2"/>
      <c r="S150" s="2"/>
    </row>
    <row r="151" spans="5:19" x14ac:dyDescent="0.25">
      <c r="E151" s="2"/>
      <c r="F151" s="2"/>
      <c r="G151" s="2"/>
      <c r="H151" s="2"/>
      <c r="I151" s="2"/>
      <c r="J151" s="2"/>
      <c r="K151" s="2"/>
      <c r="L151" s="2"/>
      <c r="M151" s="2"/>
      <c r="N151" s="2"/>
      <c r="O151" s="2"/>
      <c r="P151" s="2"/>
      <c r="Q151" s="2"/>
      <c r="R151" s="2"/>
      <c r="S151" s="2"/>
    </row>
    <row r="152" spans="5:19" x14ac:dyDescent="0.25">
      <c r="E152" s="2"/>
      <c r="F152" s="2"/>
      <c r="G152" s="2"/>
      <c r="H152" s="2"/>
      <c r="I152" s="2"/>
      <c r="J152" s="2"/>
      <c r="K152" s="2"/>
      <c r="L152" s="2"/>
      <c r="M152" s="2"/>
      <c r="N152" s="2"/>
      <c r="O152" s="2"/>
      <c r="P152" s="2"/>
      <c r="Q152" s="2"/>
      <c r="R152" s="2"/>
      <c r="S152" s="2"/>
    </row>
    <row r="153" spans="5:19" x14ac:dyDescent="0.25">
      <c r="E153" s="2"/>
      <c r="F153" s="2"/>
      <c r="G153" s="2"/>
      <c r="H153" s="2"/>
      <c r="I153" s="2"/>
      <c r="J153" s="2"/>
      <c r="K153" s="2"/>
      <c r="L153" s="2"/>
      <c r="M153" s="2"/>
      <c r="N153" s="2"/>
      <c r="O153" s="2"/>
      <c r="P153" s="2"/>
      <c r="Q153" s="2"/>
      <c r="R153" s="2"/>
      <c r="S153" s="2"/>
    </row>
    <row r="154" spans="5:19" x14ac:dyDescent="0.25">
      <c r="E154" s="2"/>
      <c r="F154" s="2"/>
      <c r="G154" s="2"/>
      <c r="H154" s="2"/>
      <c r="I154" s="2"/>
      <c r="J154" s="2"/>
      <c r="K154" s="2"/>
      <c r="L154" s="2"/>
      <c r="M154" s="2"/>
      <c r="N154" s="2"/>
      <c r="O154" s="2"/>
      <c r="P154" s="2"/>
      <c r="Q154" s="2"/>
      <c r="R154" s="2"/>
      <c r="S154" s="2"/>
    </row>
    <row r="155" spans="5:19" x14ac:dyDescent="0.25">
      <c r="E155" s="2"/>
      <c r="F155" s="2"/>
      <c r="G155" s="2"/>
      <c r="H155" s="2"/>
      <c r="I155" s="2"/>
      <c r="J155" s="2"/>
      <c r="K155" s="2"/>
      <c r="L155" s="2"/>
      <c r="M155" s="2"/>
      <c r="N155" s="2"/>
      <c r="O155" s="2"/>
      <c r="P155" s="2"/>
      <c r="Q155" s="2"/>
      <c r="R155" s="2"/>
      <c r="S155" s="2"/>
    </row>
    <row r="156" spans="5:19" x14ac:dyDescent="0.25">
      <c r="E156" s="2"/>
      <c r="F156" s="2"/>
      <c r="G156" s="2"/>
      <c r="H156" s="2"/>
      <c r="I156" s="2"/>
      <c r="J156" s="2"/>
      <c r="K156" s="2"/>
      <c r="L156" s="2"/>
      <c r="M156" s="2"/>
      <c r="N156" s="2"/>
      <c r="O156" s="2"/>
      <c r="P156" s="2"/>
      <c r="Q156" s="2"/>
      <c r="R156" s="2"/>
      <c r="S156" s="2"/>
    </row>
    <row r="157" spans="5:19" x14ac:dyDescent="0.25">
      <c r="E157" s="2"/>
      <c r="F157" s="2"/>
      <c r="G157" s="2"/>
      <c r="H157" s="2"/>
      <c r="I157" s="2"/>
      <c r="J157" s="2"/>
      <c r="K157" s="2"/>
      <c r="L157" s="2"/>
      <c r="M157" s="2"/>
      <c r="N157" s="2"/>
      <c r="O157" s="2"/>
      <c r="P157" s="2"/>
      <c r="Q157" s="2"/>
      <c r="R157" s="2"/>
      <c r="S157" s="2"/>
    </row>
    <row r="158" spans="5:19" x14ac:dyDescent="0.25">
      <c r="E158" s="2"/>
      <c r="F158" s="2"/>
      <c r="G158" s="2"/>
      <c r="H158" s="2"/>
      <c r="I158" s="2"/>
      <c r="J158" s="2"/>
      <c r="K158" s="2"/>
      <c r="L158" s="2"/>
      <c r="M158" s="2"/>
      <c r="N158" s="2"/>
      <c r="O158" s="2"/>
      <c r="P158" s="2"/>
      <c r="Q158" s="2"/>
      <c r="R158" s="2"/>
      <c r="S158" s="2"/>
    </row>
    <row r="159" spans="5:19" x14ac:dyDescent="0.25">
      <c r="E159" s="2"/>
      <c r="F159" s="2"/>
      <c r="G159" s="2"/>
      <c r="H159" s="2"/>
      <c r="I159" s="2"/>
      <c r="J159" s="2"/>
      <c r="K159" s="2"/>
      <c r="L159" s="2"/>
      <c r="M159" s="2"/>
      <c r="N159" s="2"/>
      <c r="O159" s="2"/>
      <c r="P159" s="2"/>
      <c r="Q159" s="2"/>
      <c r="R159" s="2"/>
      <c r="S159" s="2"/>
    </row>
    <row r="160" spans="5:19" x14ac:dyDescent="0.25">
      <c r="E160" s="2"/>
      <c r="F160" s="2"/>
      <c r="G160" s="2"/>
      <c r="H160" s="2"/>
      <c r="I160" s="2"/>
      <c r="J160" s="2"/>
      <c r="K160" s="2"/>
      <c r="L160" s="2"/>
      <c r="M160" s="2"/>
      <c r="N160" s="2"/>
      <c r="O160" s="2"/>
      <c r="P160" s="2"/>
      <c r="Q160" s="2"/>
      <c r="R160" s="2"/>
      <c r="S160" s="2"/>
    </row>
    <row r="161" spans="5:19" x14ac:dyDescent="0.25">
      <c r="E161" s="2"/>
      <c r="F161" s="2"/>
      <c r="G161" s="2"/>
      <c r="H161" s="2"/>
      <c r="I161" s="2"/>
      <c r="J161" s="2"/>
      <c r="K161" s="2"/>
      <c r="L161" s="2"/>
      <c r="M161" s="2"/>
      <c r="N161" s="2"/>
      <c r="O161" s="2"/>
      <c r="P161" s="2"/>
      <c r="Q161" s="2"/>
      <c r="R161" s="2"/>
      <c r="S161" s="2"/>
    </row>
  </sheetData>
  <sheetProtection algorithmName="SHA-512" hashValue="mObIQgocb88i3ZsYbamXjQQVyXMTxavhJ14W+QAga8J2XRYmYlR1aCcv3J0l83dlLV1ZnjirRYVC8kVqeHMx8A==" saltValue="GxiDVO1oY3KFQQB+h64rlQ==" spinCount="100000" sheet="1" objects="1" scenarios="1"/>
  <mergeCells count="4">
    <mergeCell ref="C5:D5"/>
    <mergeCell ref="C6:D6"/>
    <mergeCell ref="B80:C80"/>
    <mergeCell ref="B91:D110"/>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H309"/>
  <sheetViews>
    <sheetView showGridLines="0" topLeftCell="A136" zoomScaleNormal="100" workbookViewId="0">
      <selection activeCell="C137" sqref="C137"/>
    </sheetView>
  </sheetViews>
  <sheetFormatPr defaultColWidth="8.83203125" defaultRowHeight="12.5" x14ac:dyDescent="0.25"/>
  <cols>
    <col min="1" max="1" width="3.33203125" style="2" customWidth="1"/>
    <col min="2" max="2" width="60" style="2" customWidth="1"/>
    <col min="3" max="3" width="29" style="10" customWidth="1"/>
    <col min="4" max="4" width="30.75" style="10" customWidth="1"/>
    <col min="5" max="5" width="34.5" style="10" customWidth="1"/>
    <col min="6" max="6" width="33.58203125" style="10" customWidth="1"/>
    <col min="7" max="7" width="25.5" style="10" customWidth="1"/>
    <col min="8" max="8" width="23.58203125" style="10" customWidth="1"/>
    <col min="9" max="11" width="20.58203125" style="10" customWidth="1"/>
    <col min="12" max="12" width="23.33203125" style="10" customWidth="1"/>
    <col min="13" max="13" width="20.58203125" style="10" customWidth="1"/>
    <col min="14" max="17" width="20.58203125" style="2" customWidth="1"/>
    <col min="18" max="16384" width="8.83203125" style="2"/>
  </cols>
  <sheetData>
    <row r="1" spans="2:13" ht="18" x14ac:dyDescent="0.4">
      <c r="B1" s="6" t="s">
        <v>48</v>
      </c>
    </row>
    <row r="2" spans="2:13" ht="13" x14ac:dyDescent="0.3">
      <c r="B2" s="9"/>
    </row>
    <row r="3" spans="2:13" ht="13" x14ac:dyDescent="0.3">
      <c r="B3" s="9" t="s">
        <v>22</v>
      </c>
      <c r="C3" s="11"/>
      <c r="D3" s="18"/>
    </row>
    <row r="4" spans="2:13" ht="13" x14ac:dyDescent="0.3">
      <c r="B4" s="512" t="s">
        <v>398</v>
      </c>
      <c r="C4" s="1120" t="s">
        <v>965</v>
      </c>
      <c r="D4" s="1121"/>
      <c r="E4" s="1122"/>
    </row>
    <row r="5" spans="2:13" ht="13" x14ac:dyDescent="0.3">
      <c r="B5" s="513" t="s">
        <v>370</v>
      </c>
      <c r="C5" s="1123" t="s">
        <v>803</v>
      </c>
      <c r="D5" s="1124"/>
      <c r="E5" s="1125"/>
      <c r="G5" s="45"/>
      <c r="H5" s="45"/>
      <c r="I5" s="45"/>
      <c r="J5" s="2"/>
      <c r="K5" s="2"/>
      <c r="L5" s="2"/>
      <c r="M5" s="2"/>
    </row>
    <row r="6" spans="2:13" ht="13" x14ac:dyDescent="0.3">
      <c r="B6" s="514" t="s">
        <v>371</v>
      </c>
      <c r="C6" s="1077" t="s">
        <v>805</v>
      </c>
      <c r="D6" s="1126"/>
      <c r="E6" s="1078"/>
      <c r="M6" s="2"/>
    </row>
    <row r="7" spans="2:13" ht="13" x14ac:dyDescent="0.3">
      <c r="B7" s="515" t="s">
        <v>399</v>
      </c>
      <c r="C7" s="988" t="s">
        <v>966</v>
      </c>
      <c r="D7" s="1058"/>
      <c r="E7" s="1057"/>
      <c r="M7" s="2"/>
    </row>
    <row r="8" spans="2:13" ht="13" x14ac:dyDescent="0.3">
      <c r="B8" s="516" t="s">
        <v>400</v>
      </c>
      <c r="C8" s="1127" t="s">
        <v>917</v>
      </c>
      <c r="D8" s="1128"/>
      <c r="E8" s="1129"/>
    </row>
    <row r="9" spans="2:13" ht="13" x14ac:dyDescent="0.3">
      <c r="B9" s="637" t="s">
        <v>401</v>
      </c>
      <c r="C9" s="1130" t="s">
        <v>957</v>
      </c>
      <c r="D9" s="1131"/>
      <c r="E9" s="1132"/>
    </row>
    <row r="10" spans="2:13" x14ac:dyDescent="0.25">
      <c r="C10" s="11"/>
      <c r="D10" s="18"/>
      <c r="E10" s="2"/>
    </row>
    <row r="11" spans="2:13" ht="13.5" thickBot="1" x14ac:dyDescent="0.35">
      <c r="B11" s="13"/>
      <c r="C11" s="11"/>
      <c r="D11" s="18"/>
      <c r="E11" s="2"/>
      <c r="F11" s="2"/>
      <c r="G11" s="2"/>
      <c r="H11" s="2"/>
      <c r="I11" s="2"/>
      <c r="J11" s="2"/>
      <c r="K11" s="2"/>
    </row>
    <row r="12" spans="2:13" ht="13.5" thickBot="1" x14ac:dyDescent="0.35">
      <c r="B12" s="107"/>
      <c r="C12" s="11"/>
      <c r="D12" s="18"/>
      <c r="E12" s="113" t="s">
        <v>52</v>
      </c>
      <c r="F12" s="114"/>
      <c r="G12" s="114"/>
      <c r="H12" s="115"/>
      <c r="I12" s="2"/>
      <c r="J12" s="2"/>
      <c r="K12" s="2"/>
    </row>
    <row r="13" spans="2:13" ht="15.5" x14ac:dyDescent="0.35">
      <c r="B13" s="94" t="s">
        <v>321</v>
      </c>
      <c r="E13" s="116" t="s">
        <v>53</v>
      </c>
      <c r="F13" s="117"/>
      <c r="G13" s="117"/>
      <c r="H13" s="118"/>
    </row>
    <row r="14" spans="2:13" ht="13" thickBot="1" x14ac:dyDescent="0.3">
      <c r="B14" s="2" t="s">
        <v>51</v>
      </c>
      <c r="E14" s="119" t="s">
        <v>54</v>
      </c>
      <c r="H14" s="120"/>
    </row>
    <row r="15" spans="2:13" ht="13" x14ac:dyDescent="0.25">
      <c r="B15" s="111" t="s">
        <v>403</v>
      </c>
      <c r="C15" s="112"/>
      <c r="E15" s="119" t="s">
        <v>55</v>
      </c>
      <c r="H15" s="120"/>
    </row>
    <row r="16" spans="2:13" ht="13" x14ac:dyDescent="0.25">
      <c r="B16" s="518" t="s">
        <v>404</v>
      </c>
      <c r="C16" s="638"/>
      <c r="E16" s="119" t="s">
        <v>56</v>
      </c>
      <c r="H16" s="120"/>
      <c r="I16" s="2"/>
    </row>
    <row r="17" spans="1:18" ht="13" x14ac:dyDescent="0.25">
      <c r="B17" s="518" t="s">
        <v>1019</v>
      </c>
      <c r="C17" s="1059" t="s">
        <v>402</v>
      </c>
      <c r="E17" s="119"/>
      <c r="H17" s="120"/>
    </row>
    <row r="18" spans="1:18" ht="13.5" thickBot="1" x14ac:dyDescent="0.3">
      <c r="B18" s="518" t="s">
        <v>405</v>
      </c>
      <c r="C18" s="638"/>
      <c r="E18" s="121" t="s">
        <v>57</v>
      </c>
      <c r="F18" s="122"/>
      <c r="G18" s="122"/>
      <c r="H18" s="123"/>
    </row>
    <row r="19" spans="1:18" ht="13" x14ac:dyDescent="0.25">
      <c r="B19" s="518" t="s">
        <v>406</v>
      </c>
      <c r="C19" s="639"/>
    </row>
    <row r="20" spans="1:18" ht="13.5" thickBot="1" x14ac:dyDescent="0.3">
      <c r="B20" s="1056" t="s">
        <v>1054</v>
      </c>
      <c r="C20" s="1055"/>
    </row>
    <row r="21" spans="1:18" ht="16" thickBot="1" x14ac:dyDescent="0.35">
      <c r="B21" s="519" t="s">
        <v>407</v>
      </c>
      <c r="C21" s="520"/>
      <c r="E21" s="989" t="s">
        <v>967</v>
      </c>
      <c r="F21" s="114"/>
      <c r="G21" s="114"/>
      <c r="H21" s="115"/>
    </row>
    <row r="22" spans="1:18" ht="13" x14ac:dyDescent="0.25">
      <c r="B22" s="95"/>
      <c r="C22" s="124"/>
      <c r="E22" s="990" t="s">
        <v>968</v>
      </c>
      <c r="F22" s="117"/>
      <c r="G22" s="117"/>
      <c r="H22" s="118"/>
    </row>
    <row r="23" spans="1:18" ht="13.5" thickBot="1" x14ac:dyDescent="0.35">
      <c r="B23" s="95"/>
      <c r="C23" s="124"/>
      <c r="E23" s="991" t="s">
        <v>969</v>
      </c>
      <c r="H23" s="120"/>
    </row>
    <row r="24" spans="1:18" ht="13" x14ac:dyDescent="0.3">
      <c r="B24" s="111" t="s">
        <v>1020</v>
      </c>
      <c r="C24" s="112"/>
      <c r="E24" s="991" t="s">
        <v>970</v>
      </c>
      <c r="H24" s="120"/>
    </row>
    <row r="25" spans="1:18" ht="13" x14ac:dyDescent="0.3">
      <c r="B25" s="746" t="s">
        <v>812</v>
      </c>
      <c r="C25" s="750"/>
      <c r="D25" s="2"/>
      <c r="E25" s="991" t="s">
        <v>971</v>
      </c>
      <c r="H25" s="120"/>
      <c r="M25" s="2"/>
    </row>
    <row r="26" spans="1:18" ht="13" x14ac:dyDescent="0.3">
      <c r="B26" s="747" t="s">
        <v>440</v>
      </c>
      <c r="C26" s="751"/>
      <c r="D26" s="2"/>
      <c r="E26" s="991"/>
      <c r="H26" s="120"/>
      <c r="M26" s="2"/>
      <c r="Q26" s="316" t="s">
        <v>439</v>
      </c>
    </row>
    <row r="27" spans="1:18" ht="32.25" customHeight="1" thickBot="1" x14ac:dyDescent="0.35">
      <c r="B27" s="748" t="s">
        <v>441</v>
      </c>
      <c r="C27" s="749" t="str">
        <f>IF(SUM('V. BE CH4-AS'!G23,'V. BE CH4-AS'!G47,'V. BE CH4-AS'!G71,'V. BE CH4-AS'!G96,'V. BE CH4-AS'!G120,'V. BE CH4-AS'!G144,'V. BE CH4-AS'!G168,'V. BE CH4-AS'!G192,'V. BE CH4-AS'!G215,'V. BE CH4-AS'!G240,'V. BE CH4-AS'!G264,'V. BE CH4-AS'!G288,'V. BE CH4-AS'!G314,'V. BE CH4-AS'!G338,'V. BE CH4-AS'!G361,'V. BE CH4-AS'!G385,'V. BE CH4-AS'!G409,'V. BE CH4-AS'!G433,'V. BE CH4-AS'!G457,'V. BE CH4-AS'!G481)=0, "NO", "Si")</f>
        <v>NO</v>
      </c>
      <c r="E27" s="992" t="s">
        <v>972</v>
      </c>
      <c r="F27" s="122"/>
      <c r="G27" s="122"/>
      <c r="H27" s="123"/>
      <c r="Q27" s="734" t="s">
        <v>408</v>
      </c>
      <c r="R27" s="321"/>
    </row>
    <row r="28" spans="1:18" ht="13" x14ac:dyDescent="0.3">
      <c r="B28" s="125"/>
      <c r="Q28" s="734" t="s">
        <v>409</v>
      </c>
      <c r="R28" s="321"/>
    </row>
    <row r="29" spans="1:18" s="108" customFormat="1" ht="15.5" x14ac:dyDescent="0.35">
      <c r="B29" s="109" t="s">
        <v>322</v>
      </c>
      <c r="C29" s="110"/>
      <c r="D29" s="110"/>
      <c r="E29" s="110"/>
      <c r="F29" s="110"/>
      <c r="G29" s="110"/>
      <c r="H29" s="110"/>
      <c r="I29" s="110"/>
      <c r="J29" s="110"/>
      <c r="K29" s="110"/>
      <c r="L29" s="110"/>
      <c r="M29" s="110"/>
      <c r="Q29" s="734" t="s">
        <v>410</v>
      </c>
      <c r="R29" s="321"/>
    </row>
    <row r="30" spans="1:18" ht="60.5" customHeight="1" thickBot="1" x14ac:dyDescent="0.3">
      <c r="B30" s="1097" t="s">
        <v>469</v>
      </c>
      <c r="C30" s="1097"/>
      <c r="D30" s="1097"/>
      <c r="E30" s="1097"/>
      <c r="F30" s="1097"/>
      <c r="G30" s="1097"/>
      <c r="Q30" s="734" t="s">
        <v>411</v>
      </c>
      <c r="R30" s="321"/>
    </row>
    <row r="31" spans="1:18" s="95" customFormat="1" ht="79" customHeight="1" thickBot="1" x14ac:dyDescent="0.4">
      <c r="A31" s="207"/>
      <c r="B31" s="243" t="s">
        <v>442</v>
      </c>
      <c r="C31" s="443" t="s">
        <v>443</v>
      </c>
      <c r="D31" s="441" t="s">
        <v>444</v>
      </c>
      <c r="E31" s="441" t="s">
        <v>445</v>
      </c>
      <c r="F31" s="441" t="s">
        <v>446</v>
      </c>
      <c r="G31" s="442" t="s">
        <v>447</v>
      </c>
      <c r="H31" s="207"/>
      <c r="I31" s="1108" t="s">
        <v>50</v>
      </c>
      <c r="J31" s="1109"/>
      <c r="K31" s="1109"/>
      <c r="L31" s="1110"/>
      <c r="M31" s="207"/>
      <c r="N31" s="207"/>
      <c r="O31" s="207"/>
      <c r="P31" s="207"/>
      <c r="Q31" s="734" t="s">
        <v>412</v>
      </c>
      <c r="R31" s="321"/>
    </row>
    <row r="32" spans="1:18" ht="15.5" customHeight="1" x14ac:dyDescent="0.25">
      <c r="B32" s="745" t="str">
        <f>TEXT(EOMONTH($C$25,0),"[$-es-es]mmmmmmmm")</f>
        <v>enero</v>
      </c>
      <c r="C32" s="424"/>
      <c r="D32" s="424"/>
      <c r="E32" s="438">
        <f>DAY(EOMONTH($C$25,0))</f>
        <v>31</v>
      </c>
      <c r="F32" s="439"/>
      <c r="G32" s="440">
        <f>(E32-F32)*D32</f>
        <v>0</v>
      </c>
      <c r="H32" s="503"/>
      <c r="I32" s="1107"/>
      <c r="J32" s="1111"/>
      <c r="K32" s="1111"/>
      <c r="L32" s="1112"/>
      <c r="N32" s="10"/>
      <c r="O32" s="10"/>
      <c r="P32" s="10"/>
      <c r="Q32" s="734" t="s">
        <v>413</v>
      </c>
      <c r="R32" s="321"/>
    </row>
    <row r="33" spans="2:18" ht="13.5" customHeight="1" x14ac:dyDescent="0.25">
      <c r="B33" s="745" t="str">
        <f>TEXT(EOMONTH($C$25,1),"[$-es-es]mmmmmmmm")</f>
        <v>febrero</v>
      </c>
      <c r="C33" s="640"/>
      <c r="D33" s="640"/>
      <c r="E33" s="438">
        <f>DAY(EOMONTH($C$25,1))</f>
        <v>28</v>
      </c>
      <c r="F33" s="641"/>
      <c r="G33" s="521">
        <f t="shared" ref="G33:G43" si="0">(E33-F33)*D33</f>
        <v>0</v>
      </c>
      <c r="H33" s="502"/>
      <c r="I33" s="1107"/>
      <c r="J33" s="1111"/>
      <c r="K33" s="1111"/>
      <c r="L33" s="1112"/>
      <c r="N33" s="10"/>
      <c r="O33" s="10"/>
      <c r="P33" s="10"/>
      <c r="Q33" s="734" t="s">
        <v>414</v>
      </c>
      <c r="R33" s="321"/>
    </row>
    <row r="34" spans="2:18" x14ac:dyDescent="0.25">
      <c r="B34" s="745" t="str">
        <f>TEXT(EOMONTH($C$25,2),"[$-es-es]mmmmmmmm")</f>
        <v>marzo</v>
      </c>
      <c r="C34" s="640"/>
      <c r="D34" s="640"/>
      <c r="E34" s="438">
        <f>DAY(EOMONTH($C$25,2))</f>
        <v>31</v>
      </c>
      <c r="F34" s="641"/>
      <c r="G34" s="521">
        <f t="shared" si="0"/>
        <v>0</v>
      </c>
      <c r="H34" s="502"/>
      <c r="I34" s="1107"/>
      <c r="J34" s="1111"/>
      <c r="K34" s="1111"/>
      <c r="L34" s="1112"/>
      <c r="N34" s="10"/>
      <c r="O34" s="10"/>
      <c r="P34" s="10"/>
      <c r="Q34" s="734" t="s">
        <v>415</v>
      </c>
      <c r="R34" s="321"/>
    </row>
    <row r="35" spans="2:18" x14ac:dyDescent="0.25">
      <c r="B35" s="745" t="str">
        <f>TEXT(EOMONTH($C$25,3),"[$-es-es]mmmmmmmm")</f>
        <v>abril</v>
      </c>
      <c r="C35" s="640"/>
      <c r="D35" s="640"/>
      <c r="E35" s="438">
        <f>DAY(EOMONTH($C$25,3))</f>
        <v>30</v>
      </c>
      <c r="F35" s="641"/>
      <c r="G35" s="521">
        <f t="shared" si="0"/>
        <v>0</v>
      </c>
      <c r="H35" s="502"/>
      <c r="I35" s="1107"/>
      <c r="J35" s="1111"/>
      <c r="K35" s="1111"/>
      <c r="L35" s="1112"/>
      <c r="N35" s="10"/>
      <c r="O35" s="10"/>
      <c r="P35" s="10"/>
      <c r="Q35" s="734" t="s">
        <v>416</v>
      </c>
      <c r="R35" s="321"/>
    </row>
    <row r="36" spans="2:18" x14ac:dyDescent="0.25">
      <c r="B36" s="745" t="str">
        <f>TEXT(EOMONTH($C$25,4),"[$-es-es]mmmmmmmm")</f>
        <v>mayo</v>
      </c>
      <c r="C36" s="640"/>
      <c r="D36" s="640"/>
      <c r="E36" s="438">
        <f>DAY(EOMONTH($C$25,4))</f>
        <v>31</v>
      </c>
      <c r="F36" s="641"/>
      <c r="G36" s="521">
        <f t="shared" si="0"/>
        <v>0</v>
      </c>
      <c r="H36" s="502"/>
      <c r="I36" s="1107"/>
      <c r="J36" s="1111"/>
      <c r="K36" s="1111"/>
      <c r="L36" s="1112"/>
      <c r="N36" s="10"/>
      <c r="O36" s="10"/>
      <c r="P36" s="10"/>
      <c r="Q36" s="734" t="s">
        <v>417</v>
      </c>
      <c r="R36" s="321"/>
    </row>
    <row r="37" spans="2:18" x14ac:dyDescent="0.25">
      <c r="B37" s="745" t="str">
        <f>TEXT(EOMONTH($C$25,5),"[$-es-es]mmmmmmmm")</f>
        <v>junio</v>
      </c>
      <c r="C37" s="640"/>
      <c r="D37" s="640"/>
      <c r="E37" s="438">
        <f>DAY(EOMONTH($C$25,5))</f>
        <v>30</v>
      </c>
      <c r="F37" s="641"/>
      <c r="G37" s="521">
        <f t="shared" si="0"/>
        <v>0</v>
      </c>
      <c r="H37" s="502"/>
      <c r="I37" s="1107"/>
      <c r="J37" s="1111"/>
      <c r="K37" s="1111"/>
      <c r="L37" s="1112"/>
      <c r="N37" s="10"/>
      <c r="O37" s="10"/>
      <c r="P37" s="10"/>
      <c r="Q37" s="734" t="s">
        <v>418</v>
      </c>
      <c r="R37" s="321"/>
    </row>
    <row r="38" spans="2:18" x14ac:dyDescent="0.25">
      <c r="B38" s="745" t="str">
        <f>TEXT(EOMONTH($C$25,6),"[$-es-es]mmmmmmmm")</f>
        <v>julio</v>
      </c>
      <c r="C38" s="640"/>
      <c r="D38" s="640"/>
      <c r="E38" s="438">
        <f>DAY(EOMONTH($C$25,6))</f>
        <v>31</v>
      </c>
      <c r="F38" s="641"/>
      <c r="G38" s="521">
        <f t="shared" si="0"/>
        <v>0</v>
      </c>
      <c r="H38" s="502"/>
      <c r="I38" s="1107"/>
      <c r="J38" s="1111"/>
      <c r="K38" s="1111"/>
      <c r="L38" s="1112"/>
      <c r="N38" s="10"/>
      <c r="O38" s="10"/>
      <c r="P38" s="10"/>
      <c r="Q38" s="734" t="s">
        <v>419</v>
      </c>
      <c r="R38" s="321"/>
    </row>
    <row r="39" spans="2:18" x14ac:dyDescent="0.25">
      <c r="B39" s="745" t="str">
        <f>TEXT(EOMONTH($C$25,7),"[$-es-es]mmmmmmmm")</f>
        <v>agosto</v>
      </c>
      <c r="C39" s="640"/>
      <c r="D39" s="640"/>
      <c r="E39" s="438">
        <f>DAY(EOMONTH($C$25,7))</f>
        <v>31</v>
      </c>
      <c r="F39" s="641"/>
      <c r="G39" s="521">
        <f t="shared" si="0"/>
        <v>0</v>
      </c>
      <c r="H39" s="502"/>
      <c r="I39" s="1107"/>
      <c r="J39" s="1111"/>
      <c r="K39" s="1111"/>
      <c r="L39" s="1112"/>
      <c r="N39" s="10"/>
      <c r="O39" s="10"/>
      <c r="P39" s="10"/>
      <c r="Q39" s="734" t="s">
        <v>420</v>
      </c>
      <c r="R39" s="321"/>
    </row>
    <row r="40" spans="2:18" ht="14.5" customHeight="1" x14ac:dyDescent="0.25">
      <c r="B40" s="745" t="str">
        <f>TEXT(EOMONTH($C$25,8),"[$-es-es]mmmmmmmm")</f>
        <v>septiembre</v>
      </c>
      <c r="C40" s="640"/>
      <c r="D40" s="640"/>
      <c r="E40" s="438">
        <f>DAY(EOMONTH($C$25,8))</f>
        <v>30</v>
      </c>
      <c r="F40" s="641"/>
      <c r="G40" s="521">
        <f t="shared" si="0"/>
        <v>0</v>
      </c>
      <c r="H40" s="502"/>
      <c r="I40" s="1107"/>
      <c r="J40" s="1111"/>
      <c r="K40" s="1111"/>
      <c r="L40" s="1112"/>
      <c r="N40" s="10"/>
      <c r="O40" s="10"/>
      <c r="P40" s="10"/>
      <c r="Q40" s="734" t="s">
        <v>421</v>
      </c>
      <c r="R40" s="321"/>
    </row>
    <row r="41" spans="2:18" ht="14.5" customHeight="1" x14ac:dyDescent="0.25">
      <c r="B41" s="745" t="str">
        <f>TEXT(EOMONTH($C$25,9),"[$-es-es]mmmmmmmm")</f>
        <v>octubre</v>
      </c>
      <c r="C41" s="640"/>
      <c r="D41" s="640"/>
      <c r="E41" s="438">
        <f>DAY(EOMONTH($C$25,9))</f>
        <v>31</v>
      </c>
      <c r="F41" s="641"/>
      <c r="G41" s="521">
        <f t="shared" si="0"/>
        <v>0</v>
      </c>
      <c r="H41" s="502"/>
      <c r="I41" s="1107"/>
      <c r="J41" s="1111"/>
      <c r="K41" s="1111"/>
      <c r="L41" s="1112"/>
      <c r="N41" s="10"/>
      <c r="O41" s="10"/>
      <c r="P41" s="10"/>
      <c r="Q41" s="734" t="s">
        <v>422</v>
      </c>
      <c r="R41" s="321"/>
    </row>
    <row r="42" spans="2:18" x14ac:dyDescent="0.25">
      <c r="B42" s="745" t="str">
        <f>TEXT(EOMONTH($C$25,10),"[$-es-es]mmmmmmmm")</f>
        <v>noviembre</v>
      </c>
      <c r="C42" s="640"/>
      <c r="D42" s="640"/>
      <c r="E42" s="438">
        <f>DAY(EOMONTH($C$25,10))</f>
        <v>30</v>
      </c>
      <c r="F42" s="641"/>
      <c r="G42" s="521">
        <f t="shared" si="0"/>
        <v>0</v>
      </c>
      <c r="H42" s="502"/>
      <c r="I42" s="1107"/>
      <c r="J42" s="1111"/>
      <c r="K42" s="1111"/>
      <c r="L42" s="1112"/>
      <c r="N42" s="10"/>
      <c r="O42" s="10"/>
      <c r="P42" s="10"/>
      <c r="Q42" s="734" t="s">
        <v>423</v>
      </c>
      <c r="R42" s="321"/>
    </row>
    <row r="43" spans="2:18" ht="13" thickBot="1" x14ac:dyDescent="0.3">
      <c r="B43" s="745" t="str">
        <f>TEXT(EOMONTH($C$25,11),"[$-es-es]mmmmmmmm")</f>
        <v>diciembre</v>
      </c>
      <c r="C43" s="640"/>
      <c r="D43" s="522"/>
      <c r="E43" s="752">
        <f>DAY(EOMONTH($C$25,11))</f>
        <v>31</v>
      </c>
      <c r="F43" s="523"/>
      <c r="G43" s="524">
        <f t="shared" si="0"/>
        <v>0</v>
      </c>
      <c r="H43" s="502"/>
      <c r="I43" s="1113"/>
      <c r="J43" s="1114"/>
      <c r="K43" s="1114"/>
      <c r="L43" s="1115"/>
      <c r="N43" s="10"/>
      <c r="O43" s="10"/>
      <c r="P43" s="10"/>
      <c r="Q43" s="735" t="s">
        <v>424</v>
      </c>
    </row>
    <row r="44" spans="2:18" ht="16" customHeight="1" thickBot="1" x14ac:dyDescent="0.35">
      <c r="B44" s="9"/>
      <c r="C44" s="129"/>
      <c r="F44" s="981" t="s">
        <v>964</v>
      </c>
      <c r="G44" s="413">
        <f>SUM(G32:G43)</f>
        <v>0</v>
      </c>
      <c r="M44" s="2"/>
      <c r="Q44" s="735" t="s">
        <v>425</v>
      </c>
    </row>
    <row r="45" spans="2:18" ht="43" customHeight="1" x14ac:dyDescent="0.3">
      <c r="B45" s="1096" t="s">
        <v>448</v>
      </c>
      <c r="C45" s="1096"/>
      <c r="D45" s="1096"/>
      <c r="E45" s="1096"/>
      <c r="F45" s="1096"/>
      <c r="G45" s="1096"/>
      <c r="M45" s="2"/>
      <c r="Q45" s="735" t="s">
        <v>426</v>
      </c>
    </row>
    <row r="46" spans="2:18" ht="43.5" customHeight="1" x14ac:dyDescent="0.25">
      <c r="B46" s="1095" t="s">
        <v>973</v>
      </c>
      <c r="C46" s="1095"/>
      <c r="D46" s="1095"/>
      <c r="E46" s="1095"/>
      <c r="F46" s="1095"/>
      <c r="G46" s="1095"/>
      <c r="M46" s="2"/>
      <c r="Q46" s="736" t="s">
        <v>427</v>
      </c>
    </row>
    <row r="47" spans="2:18" ht="13" x14ac:dyDescent="0.3">
      <c r="B47" s="9"/>
      <c r="C47" s="22"/>
      <c r="D47" s="13"/>
      <c r="G47" s="2"/>
      <c r="Q47" s="735" t="s">
        <v>428</v>
      </c>
    </row>
    <row r="48" spans="2:18" ht="15.75" customHeight="1" x14ac:dyDescent="0.35">
      <c r="B48" s="94" t="s">
        <v>449</v>
      </c>
      <c r="Q48" s="735" t="s">
        <v>429</v>
      </c>
    </row>
    <row r="49" spans="2:17" ht="91.5" customHeight="1" x14ac:dyDescent="0.25">
      <c r="B49" s="1095" t="s">
        <v>470</v>
      </c>
      <c r="C49" s="1095"/>
      <c r="D49" s="1095"/>
      <c r="E49" s="1095"/>
      <c r="G49" s="2"/>
      <c r="H49" s="2"/>
      <c r="Q49" s="735" t="s">
        <v>430</v>
      </c>
    </row>
    <row r="50" spans="2:17" ht="14.15" customHeight="1" x14ac:dyDescent="0.25">
      <c r="B50" s="317"/>
      <c r="C50" s="317"/>
      <c r="D50" s="317"/>
      <c r="E50" s="317"/>
      <c r="G50" s="2"/>
      <c r="H50" s="2"/>
      <c r="Q50" s="737" t="s">
        <v>431</v>
      </c>
    </row>
    <row r="51" spans="2:17" ht="14.15" customHeight="1" thickBot="1" x14ac:dyDescent="0.3">
      <c r="B51" s="1116" t="s">
        <v>471</v>
      </c>
      <c r="C51" s="1117"/>
      <c r="D51" s="1117"/>
      <c r="E51" s="1118"/>
      <c r="J51" s="2"/>
      <c r="K51" s="2"/>
      <c r="L51" s="2"/>
      <c r="M51" s="2"/>
      <c r="N51" s="737" t="s">
        <v>432</v>
      </c>
    </row>
    <row r="52" spans="2:17" s="10" customFormat="1" ht="34" customHeight="1" thickBot="1" x14ac:dyDescent="0.3">
      <c r="B52" s="742" t="s">
        <v>451</v>
      </c>
      <c r="C52" s="742" t="s">
        <v>450</v>
      </c>
      <c r="D52" s="743" t="s">
        <v>452</v>
      </c>
      <c r="E52" s="744" t="s">
        <v>453</v>
      </c>
      <c r="G52" s="1052" t="s">
        <v>1037</v>
      </c>
      <c r="H52" s="1049"/>
      <c r="I52" s="1049"/>
      <c r="J52" s="1050"/>
      <c r="N52" s="737" t="s">
        <v>433</v>
      </c>
    </row>
    <row r="53" spans="2:17" s="95" customFormat="1" ht="25.5" customHeight="1" x14ac:dyDescent="0.35">
      <c r="B53" s="739" t="s">
        <v>454</v>
      </c>
      <c r="C53" s="452" t="s">
        <v>1038</v>
      </c>
      <c r="D53" s="453"/>
      <c r="E53" s="995">
        <f>IF(C53=0," ",IF(D53=0,VLOOKUP(C53,'XIV. Tablas de referencia'!$B$58:$D$76,3, FALSE),D53))</f>
        <v>550</v>
      </c>
      <c r="G53" s="1045" t="s">
        <v>1038</v>
      </c>
      <c r="J53" s="1040"/>
      <c r="N53" s="737" t="s">
        <v>434</v>
      </c>
    </row>
    <row r="54" spans="2:17" s="95" customFormat="1" ht="25.5" customHeight="1" x14ac:dyDescent="0.35">
      <c r="B54" s="739" t="s">
        <v>455</v>
      </c>
      <c r="C54" s="452" t="s">
        <v>1039</v>
      </c>
      <c r="D54" s="453"/>
      <c r="E54" s="995">
        <f>IF(C54=0," ",IF(D54=0,VLOOKUP(C54,'XIV. Tablas de referencia'!$B$58:$D$76,3, FALSE),D54))</f>
        <v>332</v>
      </c>
      <c r="G54" s="1046" t="s">
        <v>1039</v>
      </c>
      <c r="J54" s="1041"/>
      <c r="N54" s="737" t="s">
        <v>435</v>
      </c>
    </row>
    <row r="55" spans="2:17" s="95" customFormat="1" ht="25.5" customHeight="1" x14ac:dyDescent="0.35">
      <c r="B55" s="740" t="s">
        <v>456</v>
      </c>
      <c r="C55" s="525" t="s">
        <v>1040</v>
      </c>
      <c r="D55" s="526"/>
      <c r="E55" s="995">
        <f>IF(C55=0," ",IF(D55=0,VLOOKUP(C55,'XIV. Tablas de referencia'!$B$58:$D$76,3, FALSE),D55))</f>
        <v>332</v>
      </c>
      <c r="G55" s="837" t="s">
        <v>1040</v>
      </c>
      <c r="J55" s="1042"/>
      <c r="N55" s="737" t="s">
        <v>436</v>
      </c>
    </row>
    <row r="56" spans="2:17" s="95" customFormat="1" ht="25.5" customHeight="1" x14ac:dyDescent="0.35">
      <c r="B56" s="740" t="s">
        <v>457</v>
      </c>
      <c r="C56" s="525" t="s">
        <v>1016</v>
      </c>
      <c r="D56" s="526"/>
      <c r="E56" s="995">
        <f>IF(C56=0," ",IF(D56=0,VLOOKUP(C56,'XIV. Tablas de referencia'!$B$58:$D$76,3, FALSE),D56))</f>
        <v>450</v>
      </c>
      <c r="G56" s="1046" t="s">
        <v>1016</v>
      </c>
      <c r="J56" s="1041"/>
      <c r="N56" s="737" t="s">
        <v>437</v>
      </c>
    </row>
    <row r="57" spans="2:17" s="95" customFormat="1" ht="25.5" customHeight="1" x14ac:dyDescent="0.35">
      <c r="B57" s="740" t="s">
        <v>458</v>
      </c>
      <c r="C57" s="525" t="s">
        <v>1041</v>
      </c>
      <c r="D57" s="526"/>
      <c r="E57" s="995">
        <f>IF(C57=0," ",IF(D57=0,VLOOKUP(C57,'XIV. Tablas de referencia'!$B$58:$D$76,3, FALSE),D57))</f>
        <v>145</v>
      </c>
      <c r="G57" s="1046" t="s">
        <v>1041</v>
      </c>
      <c r="J57" s="1041"/>
      <c r="N57" s="738" t="s">
        <v>438</v>
      </c>
    </row>
    <row r="58" spans="2:17" s="95" customFormat="1" ht="25.5" customHeight="1" x14ac:dyDescent="0.35">
      <c r="B58" s="740" t="s">
        <v>459</v>
      </c>
      <c r="C58" s="525" t="s">
        <v>1042</v>
      </c>
      <c r="D58" s="526"/>
      <c r="E58" s="995">
        <f>IF(C58=0," ",IF(D58=0,VLOOKUP(C58,'XIV. Tablas de referencia'!$B$58:$D$76,3, FALSE),D58))</f>
        <v>60</v>
      </c>
      <c r="G58" s="1046" t="s">
        <v>1042</v>
      </c>
      <c r="J58" s="1041"/>
      <c r="N58" s="738"/>
    </row>
    <row r="59" spans="2:17" s="95" customFormat="1" ht="25.5" customHeight="1" x14ac:dyDescent="0.35">
      <c r="B59" s="740" t="s">
        <v>460</v>
      </c>
      <c r="C59" s="525" t="s">
        <v>1043</v>
      </c>
      <c r="D59" s="526"/>
      <c r="E59" s="995">
        <f>IF(C59=0," ",IF(D59=0,VLOOKUP(C59,'XIV. Tablas de referencia'!$B$58:$D$76,3, FALSE),D59))</f>
        <v>240</v>
      </c>
      <c r="F59" s="741"/>
      <c r="G59" s="1046" t="s">
        <v>1043</v>
      </c>
      <c r="J59" s="1041"/>
    </row>
    <row r="60" spans="2:17" s="95" customFormat="1" ht="25.5" x14ac:dyDescent="0.35">
      <c r="B60" s="740" t="s">
        <v>467</v>
      </c>
      <c r="C60" s="525" t="s">
        <v>978</v>
      </c>
      <c r="D60" s="526"/>
      <c r="E60" s="995">
        <f>IF(C60=0," ",IF(D60=0,VLOOKUP(C60,'XIV. Tablas de referencia'!$B$58:$D$76,3, FALSE),D60))</f>
        <v>420</v>
      </c>
      <c r="F60" s="741"/>
      <c r="G60" s="1047" t="s">
        <v>978</v>
      </c>
      <c r="J60" s="1043"/>
    </row>
    <row r="61" spans="2:17" s="95" customFormat="1" ht="25.5" customHeight="1" x14ac:dyDescent="0.35">
      <c r="B61" s="740" t="s">
        <v>468</v>
      </c>
      <c r="C61" s="525" t="s">
        <v>1044</v>
      </c>
      <c r="D61" s="526"/>
      <c r="E61" s="995">
        <f>IF(C61=0," ",IF(D61=0,VLOOKUP(C61,'XIV. Tablas de referencia'!$B$58:$D$76,3, FALSE),D61))</f>
        <v>28</v>
      </c>
      <c r="G61" s="837" t="s">
        <v>1044</v>
      </c>
      <c r="J61" s="1042"/>
    </row>
    <row r="62" spans="2:17" s="95" customFormat="1" ht="25.5" x14ac:dyDescent="0.35">
      <c r="B62" s="740" t="s">
        <v>461</v>
      </c>
      <c r="C62" s="525" t="s">
        <v>1045</v>
      </c>
      <c r="D62" s="526"/>
      <c r="E62" s="995">
        <f>IF(C62=0," ",IF(D62=0,VLOOKUP(C62,'XIV. Tablas de referencia'!$B$58:$D$76,3, FALSE),D62))</f>
        <v>68</v>
      </c>
      <c r="G62" s="837" t="s">
        <v>1045</v>
      </c>
      <c r="J62" s="1042"/>
    </row>
    <row r="63" spans="2:17" s="95" customFormat="1" ht="25.5" customHeight="1" x14ac:dyDescent="0.35">
      <c r="B63" s="740" t="s">
        <v>462</v>
      </c>
      <c r="C63" s="525" t="s">
        <v>1046</v>
      </c>
      <c r="D63" s="526"/>
      <c r="E63" s="995">
        <f>IF(C63=0," ",IF(D63=0,VLOOKUP(C63,'XIV. Tablas de referencia'!$B$58:$D$76,3, FALSE),D63))</f>
        <v>100</v>
      </c>
      <c r="G63" s="837" t="s">
        <v>1046</v>
      </c>
      <c r="J63" s="1042"/>
    </row>
    <row r="64" spans="2:17" s="95" customFormat="1" ht="25.5" x14ac:dyDescent="0.35">
      <c r="B64" s="740" t="s">
        <v>463</v>
      </c>
      <c r="C64" s="525" t="s">
        <v>1047</v>
      </c>
      <c r="D64" s="526"/>
      <c r="E64" s="995">
        <f>IF(C64=0," ",IF(D64=0,VLOOKUP(C64,'XIV. Tablas de referencia'!$B$58:$D$76,3, FALSE),D64))</f>
        <v>200</v>
      </c>
      <c r="G64" s="837" t="s">
        <v>1047</v>
      </c>
      <c r="J64" s="1042"/>
    </row>
    <row r="65" spans="2:17" s="95" customFormat="1" ht="25.5" x14ac:dyDescent="0.35">
      <c r="B65" s="740" t="s">
        <v>466</v>
      </c>
      <c r="C65" s="525" t="s">
        <v>1048</v>
      </c>
      <c r="D65" s="526"/>
      <c r="E65" s="995">
        <f>IF(C65=0," ",IF(D65=0,VLOOKUP(C65,'XIV. Tablas de referencia'!$B$58:$D$76,3, FALSE),D65))</f>
        <v>190</v>
      </c>
      <c r="G65" s="837" t="s">
        <v>1048</v>
      </c>
      <c r="J65" s="1042"/>
    </row>
    <row r="66" spans="2:17" s="95" customFormat="1" ht="25.5" x14ac:dyDescent="0.35">
      <c r="B66" s="740" t="s">
        <v>464</v>
      </c>
      <c r="C66" s="525" t="s">
        <v>1049</v>
      </c>
      <c r="D66" s="526"/>
      <c r="E66" s="995">
        <f>IF(C66=0," ",IF(D66=0,VLOOKUP(C66,'XIV. Tablas de referencia'!$B$58:$D$76,3, FALSE),D66))</f>
        <v>1.3</v>
      </c>
      <c r="G66" s="1046" t="s">
        <v>1049</v>
      </c>
      <c r="J66" s="1041"/>
    </row>
    <row r="67" spans="2:17" s="95" customFormat="1" ht="26" thickBot="1" x14ac:dyDescent="0.4">
      <c r="B67" s="740" t="s">
        <v>465</v>
      </c>
      <c r="C67" s="527" t="s">
        <v>1050</v>
      </c>
      <c r="D67" s="528"/>
      <c r="E67" s="996">
        <f>IF(C67=0," ",IF(D67=0,VLOOKUP(C67,'XIV. Tablas de referencia'!$B$58:$D$76,3, FALSE),D67))</f>
        <v>0.5</v>
      </c>
      <c r="G67" s="1046" t="s">
        <v>1050</v>
      </c>
      <c r="J67" s="1041"/>
    </row>
    <row r="68" spans="2:17" ht="13" thickBot="1" x14ac:dyDescent="0.3">
      <c r="B68" s="130"/>
      <c r="C68" s="131"/>
      <c r="E68" s="2"/>
      <c r="F68" s="2"/>
      <c r="G68" s="1048" t="s">
        <v>1051</v>
      </c>
      <c r="H68" s="1051"/>
      <c r="I68" s="1051"/>
      <c r="J68" s="1044"/>
      <c r="K68" s="2"/>
      <c r="L68" s="2"/>
      <c r="M68" s="2"/>
    </row>
    <row r="69" spans="2:17" x14ac:dyDescent="0.25">
      <c r="B69" s="130"/>
      <c r="C69" s="131"/>
      <c r="E69" s="2"/>
      <c r="F69" s="2"/>
      <c r="I69" s="2"/>
      <c r="J69" s="2"/>
      <c r="K69" s="2"/>
      <c r="L69" s="2"/>
      <c r="M69" s="2"/>
    </row>
    <row r="70" spans="2:17" ht="13" thickBot="1" x14ac:dyDescent="0.3">
      <c r="B70" s="130"/>
      <c r="C70" s="131"/>
      <c r="E70" s="130"/>
      <c r="F70" s="132"/>
      <c r="I70" s="2"/>
      <c r="J70" s="2"/>
      <c r="K70" s="2"/>
      <c r="L70" s="2"/>
      <c r="M70" s="2"/>
    </row>
    <row r="71" spans="2:17" x14ac:dyDescent="0.25">
      <c r="B71" s="1108" t="s">
        <v>476</v>
      </c>
      <c r="C71" s="1109"/>
      <c r="D71" s="1109"/>
      <c r="E71" s="1110"/>
      <c r="L71" s="2"/>
      <c r="M71" s="2"/>
    </row>
    <row r="72" spans="2:17" x14ac:dyDescent="0.25">
      <c r="B72" s="1107"/>
      <c r="C72" s="1111"/>
      <c r="D72" s="1111"/>
      <c r="E72" s="1112"/>
      <c r="L72" s="2"/>
      <c r="M72" s="2"/>
    </row>
    <row r="73" spans="2:17" x14ac:dyDescent="0.25">
      <c r="B73" s="1107"/>
      <c r="C73" s="1111"/>
      <c r="D73" s="1111"/>
      <c r="E73" s="1112"/>
      <c r="L73" s="2"/>
      <c r="M73" s="2"/>
    </row>
    <row r="74" spans="2:17" ht="13" thickBot="1" x14ac:dyDescent="0.3">
      <c r="B74" s="1113"/>
      <c r="C74" s="1114"/>
      <c r="D74" s="1114"/>
      <c r="E74" s="1115"/>
      <c r="L74" s="2"/>
      <c r="M74" s="2"/>
    </row>
    <row r="75" spans="2:17" x14ac:dyDescent="0.25">
      <c r="B75" s="10"/>
      <c r="M75" s="2"/>
    </row>
    <row r="76" spans="2:17" s="108" customFormat="1" ht="15.5" x14ac:dyDescent="0.35">
      <c r="B76" s="109" t="s">
        <v>472</v>
      </c>
      <c r="C76" s="110"/>
      <c r="D76" s="110"/>
      <c r="E76" s="110"/>
      <c r="F76" s="110"/>
      <c r="G76" s="110"/>
      <c r="H76" s="110"/>
      <c r="I76" s="110"/>
      <c r="J76" s="110"/>
      <c r="K76" s="110"/>
      <c r="L76" s="110"/>
      <c r="M76" s="110"/>
    </row>
    <row r="77" spans="2:17" ht="73.5" customHeight="1" thickBot="1" x14ac:dyDescent="0.3">
      <c r="B77" s="1133" t="s">
        <v>473</v>
      </c>
      <c r="C77" s="1133"/>
      <c r="D77" s="1133"/>
      <c r="E77" s="1133"/>
      <c r="F77" s="1133"/>
      <c r="G77" s="1133"/>
      <c r="H77" s="1133"/>
    </row>
    <row r="78" spans="2:17" s="428" customFormat="1" ht="55.5" customHeight="1" thickBot="1" x14ac:dyDescent="0.4">
      <c r="B78" s="243" t="s">
        <v>474</v>
      </c>
      <c r="C78" s="427" t="str">
        <f>B53</f>
        <v>Poblacion 1
Population 1</v>
      </c>
      <c r="D78" s="427" t="str">
        <f>B54</f>
        <v>Poblacion 2
Population 2</v>
      </c>
      <c r="E78" s="427" t="str">
        <f>B55</f>
        <v>Poblacion 3
Population 3</v>
      </c>
      <c r="F78" s="427" t="str">
        <f>B56</f>
        <v>Poblacion 4
Population 4</v>
      </c>
      <c r="G78" s="427" t="str">
        <f>B57</f>
        <v>Poblacion 5
Population 5</v>
      </c>
      <c r="H78" s="427" t="str">
        <f>B58</f>
        <v>Poblacion 6
Population 6</v>
      </c>
      <c r="I78" s="427" t="str">
        <f>B59</f>
        <v>Poblacion 7
Population 7</v>
      </c>
      <c r="J78" s="427" t="str">
        <f>B60</f>
        <v>Poblacion 8
Population 8</v>
      </c>
      <c r="K78" s="427" t="str">
        <f>B61</f>
        <v>Poblacion 9
Population 9</v>
      </c>
      <c r="L78" s="427" t="str">
        <f>B62</f>
        <v>Poblacion 10
Population 10</v>
      </c>
    </row>
    <row r="79" spans="2:17" ht="13" x14ac:dyDescent="0.25">
      <c r="B79" s="426" t="str">
        <f t="shared" ref="B79:B90" si="1">B32</f>
        <v>enero</v>
      </c>
      <c r="C79" s="430"/>
      <c r="D79" s="430"/>
      <c r="E79" s="430"/>
      <c r="F79" s="430"/>
      <c r="G79" s="430"/>
      <c r="H79" s="430"/>
      <c r="I79" s="430"/>
      <c r="J79" s="430"/>
      <c r="K79" s="430"/>
      <c r="L79" s="431"/>
      <c r="M79" s="350"/>
      <c r="N79" s="350"/>
      <c r="O79" s="350"/>
      <c r="P79" s="350"/>
      <c r="Q79" s="350"/>
    </row>
    <row r="80" spans="2:17" ht="13" x14ac:dyDescent="0.25">
      <c r="B80" s="529" t="str">
        <f t="shared" si="1"/>
        <v>febrero</v>
      </c>
      <c r="C80" s="430"/>
      <c r="D80" s="642"/>
      <c r="E80" s="642"/>
      <c r="F80" s="642"/>
      <c r="G80" s="642"/>
      <c r="H80" s="642"/>
      <c r="I80" s="642"/>
      <c r="J80" s="642"/>
      <c r="K80" s="642"/>
      <c r="L80" s="643"/>
      <c r="M80" s="350"/>
      <c r="N80" s="350"/>
      <c r="O80" s="350"/>
      <c r="P80" s="350"/>
      <c r="Q80" s="350"/>
    </row>
    <row r="81" spans="2:17" ht="13" x14ac:dyDescent="0.25">
      <c r="B81" s="529" t="str">
        <f t="shared" si="1"/>
        <v>marzo</v>
      </c>
      <c r="C81" s="430"/>
      <c r="D81" s="642"/>
      <c r="E81" s="642"/>
      <c r="F81" s="642"/>
      <c r="G81" s="642"/>
      <c r="H81" s="642"/>
      <c r="I81" s="642"/>
      <c r="J81" s="642"/>
      <c r="K81" s="642"/>
      <c r="L81" s="643"/>
      <c r="M81" s="350"/>
      <c r="N81" s="350"/>
      <c r="O81" s="350"/>
      <c r="P81" s="350"/>
      <c r="Q81" s="350"/>
    </row>
    <row r="82" spans="2:17" ht="13" x14ac:dyDescent="0.25">
      <c r="B82" s="529" t="str">
        <f t="shared" si="1"/>
        <v>abril</v>
      </c>
      <c r="C82" s="430"/>
      <c r="D82" s="642"/>
      <c r="E82" s="642"/>
      <c r="F82" s="642"/>
      <c r="G82" s="642"/>
      <c r="H82" s="642"/>
      <c r="I82" s="642"/>
      <c r="J82" s="642"/>
      <c r="K82" s="642"/>
      <c r="L82" s="643"/>
      <c r="M82" s="350"/>
      <c r="N82" s="350"/>
      <c r="O82" s="350"/>
      <c r="P82" s="350"/>
      <c r="Q82" s="350"/>
    </row>
    <row r="83" spans="2:17" ht="13" x14ac:dyDescent="0.25">
      <c r="B83" s="529" t="str">
        <f t="shared" si="1"/>
        <v>mayo</v>
      </c>
      <c r="C83" s="430"/>
      <c r="D83" s="642"/>
      <c r="E83" s="642"/>
      <c r="F83" s="642"/>
      <c r="G83" s="642"/>
      <c r="H83" s="642"/>
      <c r="I83" s="642"/>
      <c r="J83" s="642"/>
      <c r="K83" s="642"/>
      <c r="L83" s="643"/>
      <c r="M83" s="350"/>
      <c r="N83" s="350"/>
      <c r="O83" s="350"/>
      <c r="P83" s="350"/>
      <c r="Q83" s="350"/>
    </row>
    <row r="84" spans="2:17" ht="13" x14ac:dyDescent="0.25">
      <c r="B84" s="529" t="str">
        <f t="shared" si="1"/>
        <v>junio</v>
      </c>
      <c r="C84" s="430"/>
      <c r="D84" s="642"/>
      <c r="E84" s="642"/>
      <c r="F84" s="642"/>
      <c r="G84" s="642"/>
      <c r="H84" s="642"/>
      <c r="I84" s="642"/>
      <c r="J84" s="642"/>
      <c r="K84" s="642"/>
      <c r="L84" s="643"/>
      <c r="M84" s="350"/>
      <c r="N84" s="350"/>
      <c r="O84" s="350"/>
      <c r="P84" s="350"/>
      <c r="Q84" s="350"/>
    </row>
    <row r="85" spans="2:17" ht="13" x14ac:dyDescent="0.25">
      <c r="B85" s="529" t="str">
        <f t="shared" si="1"/>
        <v>julio</v>
      </c>
      <c r="C85" s="430"/>
      <c r="D85" s="642"/>
      <c r="E85" s="642"/>
      <c r="F85" s="642"/>
      <c r="G85" s="642"/>
      <c r="H85" s="642"/>
      <c r="I85" s="642"/>
      <c r="J85" s="642"/>
      <c r="K85" s="642"/>
      <c r="L85" s="643"/>
      <c r="M85" s="350"/>
      <c r="N85" s="350"/>
      <c r="O85" s="350"/>
      <c r="P85" s="350"/>
      <c r="Q85" s="350"/>
    </row>
    <row r="86" spans="2:17" ht="13" x14ac:dyDescent="0.25">
      <c r="B86" s="529" t="str">
        <f t="shared" si="1"/>
        <v>agosto</v>
      </c>
      <c r="C86" s="430"/>
      <c r="D86" s="642"/>
      <c r="E86" s="642"/>
      <c r="F86" s="642"/>
      <c r="G86" s="642"/>
      <c r="H86" s="642"/>
      <c r="I86" s="642"/>
      <c r="J86" s="642"/>
      <c r="K86" s="642"/>
      <c r="L86" s="643"/>
      <c r="M86" s="350"/>
      <c r="N86" s="350"/>
      <c r="O86" s="350"/>
      <c r="P86" s="350"/>
      <c r="Q86" s="350"/>
    </row>
    <row r="87" spans="2:17" ht="13" x14ac:dyDescent="0.25">
      <c r="B87" s="529" t="str">
        <f t="shared" si="1"/>
        <v>septiembre</v>
      </c>
      <c r="C87" s="430"/>
      <c r="D87" s="642"/>
      <c r="E87" s="642"/>
      <c r="F87" s="642"/>
      <c r="G87" s="642"/>
      <c r="H87" s="642"/>
      <c r="I87" s="642"/>
      <c r="J87" s="642"/>
      <c r="K87" s="642"/>
      <c r="L87" s="643"/>
      <c r="M87" s="350"/>
      <c r="N87" s="350"/>
      <c r="O87" s="350"/>
      <c r="P87" s="350"/>
      <c r="Q87" s="350"/>
    </row>
    <row r="88" spans="2:17" ht="13" x14ac:dyDescent="0.25">
      <c r="B88" s="529" t="str">
        <f t="shared" si="1"/>
        <v>octubre</v>
      </c>
      <c r="C88" s="430"/>
      <c r="D88" s="642"/>
      <c r="E88" s="642"/>
      <c r="F88" s="642"/>
      <c r="G88" s="642"/>
      <c r="H88" s="642"/>
      <c r="I88" s="642"/>
      <c r="J88" s="642"/>
      <c r="K88" s="642"/>
      <c r="L88" s="643"/>
      <c r="M88" s="350"/>
      <c r="N88" s="350"/>
      <c r="O88" s="350"/>
      <c r="P88" s="350"/>
      <c r="Q88" s="350"/>
    </row>
    <row r="89" spans="2:17" ht="13" x14ac:dyDescent="0.25">
      <c r="B89" s="529" t="str">
        <f t="shared" si="1"/>
        <v>noviembre</v>
      </c>
      <c r="C89" s="430"/>
      <c r="D89" s="642"/>
      <c r="E89" s="642"/>
      <c r="F89" s="642"/>
      <c r="G89" s="642"/>
      <c r="H89" s="642"/>
      <c r="I89" s="642"/>
      <c r="J89" s="642"/>
      <c r="K89" s="642"/>
      <c r="L89" s="643"/>
      <c r="M89" s="350"/>
      <c r="N89" s="350"/>
      <c r="O89" s="350"/>
      <c r="P89" s="350"/>
      <c r="Q89" s="350"/>
    </row>
    <row r="90" spans="2:17" ht="13" x14ac:dyDescent="0.25">
      <c r="B90" s="529" t="str">
        <f t="shared" si="1"/>
        <v>diciembre</v>
      </c>
      <c r="C90" s="430"/>
      <c r="D90" s="642"/>
      <c r="E90" s="642"/>
      <c r="F90" s="642"/>
      <c r="G90" s="642"/>
      <c r="H90" s="642"/>
      <c r="I90" s="642"/>
      <c r="J90" s="642"/>
      <c r="K90" s="642"/>
      <c r="L90" s="643"/>
      <c r="M90" s="350"/>
      <c r="N90" s="350"/>
      <c r="O90" s="350"/>
      <c r="P90" s="350"/>
      <c r="Q90" s="350"/>
    </row>
    <row r="91" spans="2:17" ht="13.5" thickBot="1" x14ac:dyDescent="0.35">
      <c r="B91" s="530" t="s">
        <v>506</v>
      </c>
      <c r="C91" s="531">
        <f>IF(SUM(C79:C90)&gt;0,AVERAGE(C79:C90),0)</f>
        <v>0</v>
      </c>
      <c r="D91" s="531">
        <f t="shared" ref="D91:L91" si="2">IF(SUM(D79:D90)&gt;0,AVERAGE(D79:D90),0)</f>
        <v>0</v>
      </c>
      <c r="E91" s="531">
        <f t="shared" si="2"/>
        <v>0</v>
      </c>
      <c r="F91" s="531">
        <f t="shared" si="2"/>
        <v>0</v>
      </c>
      <c r="G91" s="531">
        <f t="shared" si="2"/>
        <v>0</v>
      </c>
      <c r="H91" s="531">
        <f t="shared" si="2"/>
        <v>0</v>
      </c>
      <c r="I91" s="531">
        <f t="shared" si="2"/>
        <v>0</v>
      </c>
      <c r="J91" s="531">
        <f t="shared" si="2"/>
        <v>0</v>
      </c>
      <c r="K91" s="531">
        <f t="shared" si="2"/>
        <v>0</v>
      </c>
      <c r="L91" s="532">
        <f t="shared" si="2"/>
        <v>0</v>
      </c>
      <c r="M91" s="351"/>
      <c r="N91" s="351"/>
      <c r="O91" s="351"/>
      <c r="P91" s="351"/>
      <c r="Q91" s="351"/>
    </row>
    <row r="92" spans="2:17" ht="13.5" thickBot="1" x14ac:dyDescent="0.35">
      <c r="B92" s="9"/>
      <c r="N92" s="10"/>
      <c r="O92" s="10"/>
    </row>
    <row r="93" spans="2:17" x14ac:dyDescent="0.25">
      <c r="B93" s="1108" t="s">
        <v>475</v>
      </c>
      <c r="C93" s="1109"/>
      <c r="D93" s="1109"/>
      <c r="E93" s="1110"/>
      <c r="F93" s="133"/>
      <c r="N93" s="10"/>
      <c r="O93" s="10"/>
    </row>
    <row r="94" spans="2:17" x14ac:dyDescent="0.25">
      <c r="B94" s="1107"/>
      <c r="C94" s="1111"/>
      <c r="D94" s="1111"/>
      <c r="E94" s="1112"/>
      <c r="F94" s="133"/>
      <c r="N94" s="10"/>
      <c r="O94" s="10"/>
    </row>
    <row r="95" spans="2:17" x14ac:dyDescent="0.25">
      <c r="B95" s="1107"/>
      <c r="C95" s="1111"/>
      <c r="D95" s="1111"/>
      <c r="E95" s="1112"/>
      <c r="F95" s="133"/>
      <c r="N95" s="10"/>
      <c r="O95" s="10"/>
    </row>
    <row r="96" spans="2:17" x14ac:dyDescent="0.25">
      <c r="B96" s="1107"/>
      <c r="C96" s="1111"/>
      <c r="D96" s="1111"/>
      <c r="E96" s="1112"/>
      <c r="F96" s="133"/>
      <c r="N96" s="10"/>
      <c r="O96" s="10"/>
    </row>
    <row r="97" spans="2:14" ht="13" thickBot="1" x14ac:dyDescent="0.3">
      <c r="B97" s="1113"/>
      <c r="C97" s="1114"/>
      <c r="D97" s="1114"/>
      <c r="E97" s="1115"/>
      <c r="F97" s="133"/>
      <c r="N97" s="10"/>
    </row>
    <row r="98" spans="2:14" ht="13" x14ac:dyDescent="0.3">
      <c r="B98" s="134"/>
      <c r="C98" s="11"/>
      <c r="D98" s="135"/>
    </row>
    <row r="99" spans="2:14" s="108" customFormat="1" ht="15.5" x14ac:dyDescent="0.35">
      <c r="B99" s="109" t="s">
        <v>61</v>
      </c>
      <c r="C99" s="136"/>
      <c r="D99" s="136"/>
      <c r="E99" s="137"/>
      <c r="F99" s="137"/>
      <c r="H99" s="138"/>
      <c r="I99" s="139"/>
      <c r="J99" s="140"/>
      <c r="K99" s="110"/>
      <c r="L99" s="110"/>
      <c r="M99" s="110"/>
    </row>
    <row r="100" spans="2:14" ht="15.5" x14ac:dyDescent="0.35">
      <c r="B100" s="754" t="s">
        <v>478</v>
      </c>
      <c r="C100" s="753"/>
      <c r="D100" s="753"/>
      <c r="E100" s="131"/>
      <c r="F100" s="131"/>
      <c r="G100" s="2"/>
      <c r="H100" s="22"/>
      <c r="I100" s="141"/>
      <c r="J100" s="11"/>
    </row>
    <row r="101" spans="2:14" ht="53.15" customHeight="1" x14ac:dyDescent="0.3">
      <c r="B101" s="1136" t="s">
        <v>62</v>
      </c>
      <c r="C101" s="1136"/>
      <c r="D101" s="1136"/>
      <c r="E101" s="131"/>
      <c r="F101" s="131"/>
      <c r="G101" s="2"/>
      <c r="H101" s="22"/>
      <c r="I101" s="141"/>
      <c r="J101" s="11"/>
    </row>
    <row r="102" spans="2:14" ht="32.5" customHeight="1" thickBot="1" x14ac:dyDescent="0.35">
      <c r="B102" s="1134" t="s">
        <v>479</v>
      </c>
      <c r="C102" s="1134"/>
      <c r="D102" s="1134"/>
      <c r="E102" s="131"/>
      <c r="F102" s="131"/>
      <c r="G102" s="2"/>
      <c r="H102" s="22"/>
      <c r="I102" s="141"/>
      <c r="J102" s="11"/>
    </row>
    <row r="103" spans="2:14" ht="28.5" thickBot="1" x14ac:dyDescent="0.3">
      <c r="B103" s="243" t="s">
        <v>477</v>
      </c>
      <c r="C103" s="443" t="s">
        <v>63</v>
      </c>
      <c r="D103" s="442" t="s">
        <v>64</v>
      </c>
      <c r="E103" s="5"/>
      <c r="F103" s="1098" t="s">
        <v>475</v>
      </c>
      <c r="G103" s="1099"/>
      <c r="H103" s="1099"/>
      <c r="I103" s="1100"/>
      <c r="J103" s="11"/>
    </row>
    <row r="104" spans="2:14" ht="25" customHeight="1" x14ac:dyDescent="0.25">
      <c r="B104" s="454" t="str">
        <f t="shared" ref="B104:B113" si="3">C53</f>
        <v>Vacas lecheras y no lecheras (en sistemas intensivos) 
Dairy and non-milking dairy cows (in intensive systems)</v>
      </c>
      <c r="C104" s="984">
        <f>IF(B104=0,0,VLOOKUP(B104,'XIV. Tablas de referencia'!$B$96:$G$114, 3, FALSE))</f>
        <v>3.91</v>
      </c>
      <c r="D104" s="1022">
        <f>IF(D53=0,C104,C104*D53/VLOOKUP(B104,'XIV. Tablas de referencia'!$B$58:$D$76,3,FALSE))</f>
        <v>3.91</v>
      </c>
      <c r="E104" s="5"/>
      <c r="F104" s="1101"/>
      <c r="G104" s="1102"/>
      <c r="H104" s="1102"/>
      <c r="I104" s="1103"/>
      <c r="J104" s="11"/>
    </row>
    <row r="105" spans="2:14" ht="25" customHeight="1" x14ac:dyDescent="0.25">
      <c r="B105" s="982" t="str">
        <f t="shared" si="3"/>
        <v>Novillos/Novillos (en sistemas intensivos) 
Heifers/Steers (in intensive systems)</v>
      </c>
      <c r="C105" s="1053">
        <f>IF(B105=0,0,VLOOKUP(B105,'XIV. Tablas de referencia'!$B$96:$G$114, 3, FALSE))</f>
        <v>2.86</v>
      </c>
      <c r="D105" s="1020">
        <f>IF(D54=0,C105,C105*D54/VLOOKUP(B105,'XIV. Tablas de referencia'!$B$58:$D$76,3,FALSE))</f>
        <v>2.86</v>
      </c>
      <c r="E105" s="5"/>
      <c r="F105" s="1101"/>
      <c r="G105" s="1102"/>
      <c r="H105" s="1102"/>
      <c r="I105" s="1103"/>
      <c r="J105" s="11"/>
    </row>
    <row r="106" spans="2:14" ht="25" customHeight="1" x14ac:dyDescent="0.25">
      <c r="B106" s="982" t="str">
        <f t="shared" si="3"/>
        <v>Novillas de reemplazo/crecimiento (en pastos o pastizales) 
Replacement/growing heifers (in pasture or rangeland)</v>
      </c>
      <c r="C106" s="1053">
        <f>IF(B106=0,0,VLOOKUP(B106,'XIV. Tablas de referencia'!$B$96:$G$114, 3, FALSE))</f>
        <v>2.4900000000000002</v>
      </c>
      <c r="D106" s="1020">
        <f>IF(D55=0,C106,C106*D55/VLOOKUP(B106,'XIV. Tablas de referencia'!$B$58:$D$76,3,FALSE))</f>
        <v>2.4900000000000002</v>
      </c>
      <c r="E106" s="5"/>
      <c r="F106" s="1101"/>
      <c r="G106" s="1102"/>
      <c r="H106" s="1102"/>
      <c r="I106" s="1103"/>
      <c r="J106" s="11"/>
    </row>
    <row r="107" spans="2:14" ht="25" customHeight="1" x14ac:dyDescent="0.25">
      <c r="B107" s="982" t="str">
        <f t="shared" si="3"/>
        <v>Toros (pastoreo) 
Bulls (grazing)</v>
      </c>
      <c r="C107" s="1053">
        <f>IF(B107=0,0,VLOOKUP(B107,'XIV. Tablas de referencia'!$B$96:$G$114, 3, FALSE))</f>
        <v>3.87</v>
      </c>
      <c r="D107" s="1020">
        <f>IF(D56=0,C107,C107*D56/VLOOKUP(B107,'XIV. Tablas de referencia'!$B$58:$D$76,3,FALSE))</f>
        <v>3.87</v>
      </c>
      <c r="E107" s="5"/>
      <c r="F107" s="1101"/>
      <c r="G107" s="1102"/>
      <c r="H107" s="1102"/>
      <c r="I107" s="1103"/>
      <c r="J107" s="11"/>
    </row>
    <row r="108" spans="2:14" ht="25" customHeight="1" x14ac:dyDescent="0.25">
      <c r="B108" s="982" t="str">
        <f t="shared" si="3"/>
        <v>Terneros (en forraje, en pastos/pastizales) 
Calves (on forage, in pasture/rangeland)</v>
      </c>
      <c r="C108" s="1053">
        <f>IF(B108=0,0,VLOOKUP(B108,'XIV. Tablas de referencia'!$B$96:$G$114, 3, FALSE))</f>
        <v>1.25</v>
      </c>
      <c r="D108" s="1020">
        <f>IF(D57=0,C108,C108*D57/VLOOKUP(B108,'XIV. Tablas de referencia'!$B$58:$D$76,3,FALSE))</f>
        <v>1.25</v>
      </c>
      <c r="E108" s="5"/>
      <c r="F108" s="1101"/>
      <c r="G108" s="1102"/>
      <c r="H108" s="1102"/>
      <c r="I108" s="1103"/>
    </row>
    <row r="109" spans="2:14" ht="25" customHeight="1" x14ac:dyDescent="0.25">
      <c r="B109" s="982" t="str">
        <f t="shared" si="3"/>
        <v>Terneros (en lechero, en pastos/pastizales) 
Calves (on milk, in pasture/rangeland)</v>
      </c>
      <c r="C109" s="1053">
        <f>IF(B109=0,0,VLOOKUP(B109,'XIV. Tablas de referencia'!$B$96:$G$114, 3, FALSE))</f>
        <v>0.52</v>
      </c>
      <c r="D109" s="1020">
        <f>IF(D58=0,C109,C109*D58/VLOOKUP(B109,'XIV. Tablas de referencia'!$B$58:$D$76,3,FALSE))</f>
        <v>0.52</v>
      </c>
      <c r="E109" s="5"/>
      <c r="F109" s="1101"/>
      <c r="G109" s="1102"/>
      <c r="H109" s="1102"/>
      <c r="I109" s="1103"/>
    </row>
    <row r="110" spans="2:14" ht="25" customHeight="1" x14ac:dyDescent="0.25">
      <c r="B110" s="982" t="str">
        <f t="shared" si="3"/>
        <v>Novillas y novillos (en pastos/pastizales)
Heifers and Steers (in pasture/rangeland)</v>
      </c>
      <c r="C110" s="1053">
        <f>IF(B110=0,0,VLOOKUP(B110,'XIV. Tablas de referencia'!$B$96:$G$114, 3, FALSE))</f>
        <v>2.86</v>
      </c>
      <c r="D110" s="1020">
        <f>IF(D59=0,C110,C110*D59/VLOOKUP(B110,'XIV. Tablas de referencia'!$B$58:$D$76,3,FALSE))</f>
        <v>2.86</v>
      </c>
      <c r="E110" s="5"/>
      <c r="F110" s="1101"/>
      <c r="G110" s="1102"/>
      <c r="H110" s="1102"/>
      <c r="I110" s="1103"/>
    </row>
    <row r="111" spans="2:14" s="10" customFormat="1" ht="25" customHeight="1" x14ac:dyDescent="0.25">
      <c r="B111" s="982" t="str">
        <f t="shared" si="3"/>
        <v>Vacas (en pastos/pastizales) 
Cows (in pasture/rangeland)</v>
      </c>
      <c r="C111" s="1053">
        <f>IF(B111=0,0,VLOOKUP(B111,'XIV. Tablas de referencia'!$B$96:$G$114, 3, FALSE))</f>
        <v>3.55</v>
      </c>
      <c r="D111" s="1020">
        <f>IF(D60=0,C111,C111*D60/VLOOKUP(B111,'XIV. Tablas de referencia'!$B$58:$D$76,3,FALSE))</f>
        <v>3.55</v>
      </c>
      <c r="E111" s="5"/>
      <c r="F111" s="1101"/>
      <c r="G111" s="1102"/>
      <c r="H111" s="1102"/>
      <c r="I111" s="1103"/>
    </row>
    <row r="112" spans="2:14" ht="25" customHeight="1" x14ac:dyDescent="0.25">
      <c r="B112" s="982" t="str">
        <f t="shared" si="3"/>
        <v>Cerdos de vivero 
Nursery swine</v>
      </c>
      <c r="C112" s="1053">
        <f>IF(B112=0,0,VLOOKUP(B112,'XIV. Tablas de referencia'!$B$96:$G$114, 3, FALSE))</f>
        <v>0.16600000000000001</v>
      </c>
      <c r="D112" s="1020">
        <f>IF(D61=0,C112,C112*D61/VLOOKUP(B112,'XIV. Tablas de referencia'!$B$58:$D$76,3,FALSE))</f>
        <v>0.16600000000000001</v>
      </c>
      <c r="E112" s="5"/>
      <c r="F112" s="1101"/>
      <c r="G112" s="1102"/>
      <c r="H112" s="1102"/>
      <c r="I112" s="1103"/>
    </row>
    <row r="113" spans="1:13" ht="25" customHeight="1" thickBot="1" x14ac:dyDescent="0.3">
      <c r="B113" s="983" t="str">
        <f t="shared" si="3"/>
        <v>Cerdos en crecimiento 
Growing swine</v>
      </c>
      <c r="C113" s="1054">
        <f>IF(B113=0,0,VLOOKUP(B113,'XIV. Tablas de referencia'!$B$96:$G$114, 3, FALSE))</f>
        <v>0.40500000000000003</v>
      </c>
      <c r="D113" s="1021">
        <f>IF(D62=0,C113,C113*D62/VLOOKUP(B113,'XIV. Tablas de referencia'!$B$58:$D$76,3,FALSE))</f>
        <v>0.40500000000000003</v>
      </c>
      <c r="E113" s="2"/>
      <c r="F113" s="1104"/>
      <c r="G113" s="1105"/>
      <c r="H113" s="1105"/>
      <c r="I113" s="1106"/>
    </row>
    <row r="114" spans="1:13" x14ac:dyDescent="0.25">
      <c r="C114" s="2"/>
      <c r="D114" s="2"/>
      <c r="E114" s="2"/>
      <c r="F114" s="2"/>
      <c r="G114" s="2"/>
      <c r="H114" s="2"/>
    </row>
    <row r="115" spans="1:13" s="108" customFormat="1" ht="15.5" x14ac:dyDescent="0.35">
      <c r="B115" s="109" t="s">
        <v>65</v>
      </c>
      <c r="C115" s="142"/>
      <c r="I115" s="110"/>
      <c r="J115" s="110"/>
      <c r="K115" s="110"/>
      <c r="L115" s="110"/>
      <c r="M115" s="110"/>
    </row>
    <row r="116" spans="1:13" ht="16" thickBot="1" x14ac:dyDescent="0.4">
      <c r="B116" s="754" t="s">
        <v>480</v>
      </c>
      <c r="C116" s="9"/>
      <c r="D116" s="2"/>
      <c r="E116" s="2"/>
      <c r="F116" s="2"/>
      <c r="G116" s="2"/>
      <c r="H116" s="2"/>
    </row>
    <row r="117" spans="1:13" ht="38.15" customHeight="1" x14ac:dyDescent="0.25">
      <c r="B117" s="1119" t="s">
        <v>66</v>
      </c>
      <c r="C117" s="1119"/>
      <c r="D117" s="20"/>
      <c r="E117" s="2"/>
      <c r="F117" s="1098" t="s">
        <v>475</v>
      </c>
      <c r="G117" s="1099"/>
      <c r="H117" s="1099"/>
      <c r="I117" s="1100"/>
    </row>
    <row r="118" spans="1:13" ht="26" customHeight="1" thickBot="1" x14ac:dyDescent="0.3">
      <c r="B118" s="1134" t="s">
        <v>481</v>
      </c>
      <c r="C118" s="1134"/>
      <c r="D118" s="20"/>
      <c r="E118" s="2"/>
      <c r="F118" s="1107"/>
      <c r="G118" s="1102"/>
      <c r="H118" s="1102"/>
      <c r="I118" s="1103"/>
    </row>
    <row r="119" spans="1:13" ht="46.5" thickBot="1" x14ac:dyDescent="0.3">
      <c r="B119" s="243" t="s">
        <v>477</v>
      </c>
      <c r="C119" s="443" t="s">
        <v>67</v>
      </c>
      <c r="D119" s="442" t="s">
        <v>974</v>
      </c>
      <c r="F119" s="1101"/>
      <c r="G119" s="1102"/>
      <c r="H119" s="1102"/>
      <c r="I119" s="1103"/>
    </row>
    <row r="120" spans="1:13" ht="25" customHeight="1" x14ac:dyDescent="0.3">
      <c r="B120" s="454" t="str">
        <f t="shared" ref="B120:B129" si="4">C53</f>
        <v>Vacas lecheras y no lecheras (en sistemas intensivos) 
Dairy and non-milking dairy cows (in intensive systems)</v>
      </c>
      <c r="C120" s="984">
        <f>IF(B120=0,0,VLOOKUP(B120,'XIV. Tablas de referencia'!$B$97:$G$114, 5, FALSE))</f>
        <v>0.13</v>
      </c>
      <c r="D120" s="985"/>
      <c r="F120" s="1101"/>
      <c r="G120" s="1102"/>
      <c r="H120" s="1102"/>
      <c r="I120" s="1103"/>
    </row>
    <row r="121" spans="1:13" ht="25" customHeight="1" x14ac:dyDescent="0.3">
      <c r="B121" s="982" t="str">
        <f t="shared" si="4"/>
        <v>Novillos/Novillos (en sistemas intensivos) 
Heifers/Steers (in intensive systems)</v>
      </c>
      <c r="C121" s="984">
        <f>IF(B121=0,0,VLOOKUP(B121,'XIV. Tablas de referencia'!$B$97:$G$114, 5, FALSE))</f>
        <v>0.17</v>
      </c>
      <c r="D121" s="986"/>
      <c r="F121" s="1101"/>
      <c r="G121" s="1102"/>
      <c r="H121" s="1102"/>
      <c r="I121" s="1103"/>
    </row>
    <row r="122" spans="1:13" ht="25" customHeight="1" x14ac:dyDescent="0.3">
      <c r="B122" s="982" t="str">
        <f t="shared" si="4"/>
        <v>Novillas de reemplazo/crecimiento (en pastos o pastizales) 
Replacement/growing heifers (in pasture or rangeland)</v>
      </c>
      <c r="C122" s="984">
        <f>IF(B122=0,0,VLOOKUP(B122,'XIV. Tablas de referencia'!$B$97:$G$114, 5, FALSE))</f>
        <v>0.13</v>
      </c>
      <c r="D122" s="986"/>
      <c r="F122" s="1101"/>
      <c r="G122" s="1102"/>
      <c r="H122" s="1102"/>
      <c r="I122" s="1103"/>
    </row>
    <row r="123" spans="1:13" ht="25" customHeight="1" x14ac:dyDescent="0.3">
      <c r="B123" s="982" t="str">
        <f t="shared" si="4"/>
        <v>Toros (pastoreo) 
Bulls (grazing)</v>
      </c>
      <c r="C123" s="984">
        <f>IF(B123=0,0,VLOOKUP(B123,'XIV. Tablas de referencia'!$B$97:$G$114, 5, FALSE))</f>
        <v>0.13</v>
      </c>
      <c r="D123" s="986"/>
      <c r="F123" s="1101"/>
      <c r="G123" s="1102"/>
      <c r="H123" s="1102"/>
      <c r="I123" s="1103"/>
    </row>
    <row r="124" spans="1:13" ht="25" customHeight="1" x14ac:dyDescent="0.3">
      <c r="B124" s="982" t="str">
        <f t="shared" si="4"/>
        <v>Terneros (en forraje, en pastos/pastizales) 
Calves (on forage, in pasture/rangeland)</v>
      </c>
      <c r="C124" s="984">
        <f>IF(B124=0,0,VLOOKUP(B124,'XIV. Tablas de referencia'!$B$97:$G$114, 5, FALSE))</f>
        <v>0.13</v>
      </c>
      <c r="D124" s="986"/>
      <c r="F124" s="1101"/>
      <c r="G124" s="1102"/>
      <c r="H124" s="1102"/>
      <c r="I124" s="1103"/>
    </row>
    <row r="125" spans="1:13" ht="25" customHeight="1" x14ac:dyDescent="0.3">
      <c r="A125" s="10"/>
      <c r="B125" s="982" t="str">
        <f t="shared" si="4"/>
        <v>Terneros (en lechero, en pastos/pastizales) 
Calves (on milk, in pasture/rangeland)</v>
      </c>
      <c r="C125" s="984">
        <f>IF(B125=0,0,VLOOKUP(B125,'XIV. Tablas de referencia'!$B$97:$G$114, 5, FALSE))</f>
        <v>0.13</v>
      </c>
      <c r="D125" s="986"/>
      <c r="F125" s="1101"/>
      <c r="G125" s="1102"/>
      <c r="H125" s="1102"/>
      <c r="I125" s="1103"/>
    </row>
    <row r="126" spans="1:13" ht="25" customHeight="1" x14ac:dyDescent="0.3">
      <c r="B126" s="982" t="str">
        <f t="shared" si="4"/>
        <v>Novillas y novillos (en pastos/pastizales)
Heifers and Steers (in pasture/rangeland)</v>
      </c>
      <c r="C126" s="984">
        <f>IF(B126=0,0,VLOOKUP(B126,'XIV. Tablas de referencia'!$B$97:$G$114, 5, FALSE))</f>
        <v>0.17</v>
      </c>
      <c r="D126" s="986"/>
      <c r="F126" s="1101"/>
      <c r="G126" s="1102"/>
      <c r="H126" s="1102"/>
      <c r="I126" s="1103"/>
    </row>
    <row r="127" spans="1:13" ht="25" customHeight="1" x14ac:dyDescent="0.3">
      <c r="B127" s="982" t="str">
        <f t="shared" si="4"/>
        <v>Vacas (en pastos/pastizales) 
Cows (in pasture/rangeland)</v>
      </c>
      <c r="C127" s="984">
        <f>IF(B127=0,0,VLOOKUP(B127,'XIV. Tablas de referencia'!$B$97:$G$114, 5, FALSE))</f>
        <v>0.188</v>
      </c>
      <c r="D127" s="986"/>
      <c r="F127" s="1101"/>
      <c r="G127" s="1102"/>
      <c r="H127" s="1102"/>
      <c r="I127" s="1103"/>
    </row>
    <row r="128" spans="1:13" ht="25" customHeight="1" x14ac:dyDescent="0.3">
      <c r="B128" s="982" t="str">
        <f t="shared" si="4"/>
        <v>Cerdos de vivero 
Nursery swine</v>
      </c>
      <c r="C128" s="984">
        <f>IF(B128=0,0,VLOOKUP(B128,'XIV. Tablas de referencia'!$B$97:$G$114, 5, FALSE))</f>
        <v>0.28999999999999998</v>
      </c>
      <c r="D128" s="986"/>
      <c r="F128" s="1101"/>
      <c r="G128" s="1102"/>
      <c r="H128" s="1102"/>
      <c r="I128" s="1103"/>
    </row>
    <row r="129" spans="2:14" ht="25" customHeight="1" thickBot="1" x14ac:dyDescent="0.35">
      <c r="B129" s="983" t="str">
        <f t="shared" si="4"/>
        <v>Cerdos en crecimiento 
Growing swine</v>
      </c>
      <c r="C129" s="1019">
        <f>IF(B129=0,0,VLOOKUP(B129,'XIV. Tablas de referencia'!$B$97:$G$114, 5, FALSE))</f>
        <v>0.28999999999999998</v>
      </c>
      <c r="D129" s="987"/>
      <c r="F129" s="1104"/>
      <c r="G129" s="1105"/>
      <c r="H129" s="1105"/>
      <c r="I129" s="1106"/>
    </row>
    <row r="130" spans="2:14" x14ac:dyDescent="0.25">
      <c r="E130" s="2"/>
      <c r="F130" s="2"/>
      <c r="G130" s="2"/>
      <c r="H130" s="2"/>
      <c r="L130" s="326"/>
      <c r="M130" s="326"/>
    </row>
    <row r="131" spans="2:14" s="108" customFormat="1" ht="16" thickBot="1" x14ac:dyDescent="0.4">
      <c r="B131" s="109" t="s">
        <v>68</v>
      </c>
      <c r="C131" s="110"/>
      <c r="D131" s="110"/>
      <c r="I131" s="110"/>
      <c r="J131" s="110"/>
      <c r="K131" s="110"/>
      <c r="L131" s="326"/>
      <c r="M131" s="326"/>
    </row>
    <row r="132" spans="2:14" ht="37.5" x14ac:dyDescent="0.35">
      <c r="B132" s="754" t="s">
        <v>482</v>
      </c>
      <c r="C132" s="755"/>
      <c r="E132" s="2"/>
      <c r="F132" s="2"/>
      <c r="G132" s="2"/>
      <c r="H132" s="2"/>
      <c r="K132" s="1034" t="s">
        <v>475</v>
      </c>
      <c r="L132" s="1026"/>
      <c r="M132" s="1026"/>
      <c r="N132" s="1027"/>
    </row>
    <row r="133" spans="2:14" ht="48" customHeight="1" x14ac:dyDescent="0.25">
      <c r="B133" s="1148" t="s">
        <v>69</v>
      </c>
      <c r="C133" s="1148"/>
      <c r="D133" s="1149"/>
      <c r="E133" s="1149"/>
      <c r="F133" s="2"/>
      <c r="G133" s="2"/>
      <c r="H133" s="2"/>
      <c r="K133" s="1033"/>
      <c r="L133" s="1029"/>
      <c r="M133" s="1029"/>
      <c r="N133" s="1030"/>
    </row>
    <row r="134" spans="2:14" ht="32.5" customHeight="1" thickBot="1" x14ac:dyDescent="0.35">
      <c r="B134" s="1135" t="s">
        <v>483</v>
      </c>
      <c r="C134" s="1135"/>
      <c r="D134" s="1135"/>
      <c r="E134" s="1135"/>
      <c r="F134" s="2"/>
      <c r="G134" s="2"/>
      <c r="H134" s="2"/>
      <c r="K134" s="1028"/>
      <c r="L134" s="1029"/>
      <c r="M134" s="1029"/>
      <c r="N134" s="1030"/>
    </row>
    <row r="135" spans="2:14" ht="57.5" customHeight="1" x14ac:dyDescent="0.3">
      <c r="B135" s="144" t="s">
        <v>484</v>
      </c>
      <c r="C135" s="144" t="s">
        <v>485</v>
      </c>
      <c r="D135" s="145"/>
      <c r="E135" s="1092" t="s">
        <v>70</v>
      </c>
      <c r="F135" s="1093"/>
      <c r="G135" s="1093"/>
      <c r="H135" s="1093"/>
      <c r="I135" s="1093"/>
      <c r="J135" s="1094"/>
      <c r="K135" s="1028"/>
      <c r="L135" s="1029"/>
      <c r="M135" s="1029"/>
      <c r="N135" s="1030"/>
    </row>
    <row r="136" spans="2:14" ht="29.15" customHeight="1" x14ac:dyDescent="0.25">
      <c r="B136" s="537"/>
      <c r="C136" s="147"/>
      <c r="D136" s="146"/>
      <c r="E136" s="1071" t="s">
        <v>1065</v>
      </c>
      <c r="F136" s="1150" t="s">
        <v>1066</v>
      </c>
      <c r="G136" s="1151"/>
      <c r="H136" s="358"/>
      <c r="I136" s="358"/>
      <c r="J136" s="1061"/>
      <c r="K136" s="1029"/>
      <c r="L136" s="1029"/>
      <c r="M136" s="1029"/>
      <c r="N136" s="1030"/>
    </row>
    <row r="137" spans="2:14" ht="29.15" customHeight="1" thickBot="1" x14ac:dyDescent="0.3">
      <c r="B137" s="691"/>
      <c r="C137" s="538"/>
      <c r="D137" s="146"/>
      <c r="E137" s="1072" t="s">
        <v>877</v>
      </c>
      <c r="F137" s="1062" t="s">
        <v>1058</v>
      </c>
      <c r="G137" s="1060"/>
      <c r="J137" s="1063"/>
      <c r="K137" s="1029"/>
      <c r="L137" s="1029"/>
      <c r="M137" s="1029"/>
      <c r="N137" s="1030"/>
    </row>
    <row r="138" spans="2:14" ht="37.5" customHeight="1" x14ac:dyDescent="0.25">
      <c r="B138" s="5"/>
      <c r="C138" s="538"/>
      <c r="D138" s="146"/>
      <c r="E138" s="1072" t="s">
        <v>1064</v>
      </c>
      <c r="F138" s="1062" t="s">
        <v>1059</v>
      </c>
      <c r="G138" s="1060"/>
      <c r="J138" s="1063"/>
      <c r="K138" s="1029"/>
      <c r="L138" s="1029"/>
      <c r="M138" s="1029"/>
      <c r="N138" s="1030"/>
    </row>
    <row r="139" spans="2:14" ht="42.5" customHeight="1" x14ac:dyDescent="0.25">
      <c r="B139" s="5"/>
      <c r="C139" s="538"/>
      <c r="D139" s="146"/>
      <c r="E139" s="1072" t="s">
        <v>1057</v>
      </c>
      <c r="F139" s="1062" t="s">
        <v>891</v>
      </c>
      <c r="G139" s="1060"/>
      <c r="J139" s="1063"/>
      <c r="K139" s="1029"/>
      <c r="L139" s="1029"/>
      <c r="M139" s="1029"/>
      <c r="N139" s="1030"/>
    </row>
    <row r="140" spans="2:14" ht="29.15" customHeight="1" x14ac:dyDescent="0.25">
      <c r="B140" s="5"/>
      <c r="C140" s="538"/>
      <c r="D140" s="146"/>
      <c r="E140" s="1073"/>
      <c r="F140" s="1062" t="s">
        <v>1078</v>
      </c>
      <c r="G140" s="1060"/>
      <c r="J140" s="1063"/>
      <c r="K140" s="1029"/>
      <c r="L140" s="1029"/>
      <c r="M140" s="1029"/>
      <c r="N140" s="1030"/>
    </row>
    <row r="141" spans="2:14" ht="29.15" customHeight="1" x14ac:dyDescent="0.25">
      <c r="B141" s="5"/>
      <c r="C141" s="538"/>
      <c r="D141" s="146"/>
      <c r="E141" s="1073"/>
      <c r="F141" s="1062" t="s">
        <v>1080</v>
      </c>
      <c r="G141" s="1060"/>
      <c r="J141" s="1063"/>
      <c r="K141" s="1029"/>
      <c r="L141" s="1029"/>
      <c r="M141" s="1029"/>
      <c r="N141" s="1030"/>
    </row>
    <row r="142" spans="2:14" ht="29.15" customHeight="1" x14ac:dyDescent="0.25">
      <c r="B142" s="5"/>
      <c r="C142" s="538"/>
      <c r="D142" s="146"/>
      <c r="E142" s="1073"/>
      <c r="F142" s="1062" t="s">
        <v>1079</v>
      </c>
      <c r="G142" s="1060"/>
      <c r="J142" s="1063"/>
      <c r="K142" s="1029"/>
      <c r="L142" s="1029"/>
      <c r="M142" s="1029"/>
      <c r="N142" s="1030"/>
    </row>
    <row r="143" spans="2:14" ht="29.15" customHeight="1" x14ac:dyDescent="0.25">
      <c r="B143" s="5"/>
      <c r="C143" s="538"/>
      <c r="D143" s="146"/>
      <c r="E143" s="1073"/>
      <c r="F143" s="1062" t="s">
        <v>1060</v>
      </c>
      <c r="G143" s="1060"/>
      <c r="J143" s="1063"/>
      <c r="K143" s="1029"/>
      <c r="L143" s="1029"/>
      <c r="M143" s="1029"/>
      <c r="N143" s="1030"/>
    </row>
    <row r="144" spans="2:14" ht="29.15" customHeight="1" thickBot="1" x14ac:dyDescent="0.3">
      <c r="B144" s="5"/>
      <c r="C144" s="538"/>
      <c r="D144" s="146"/>
      <c r="E144" s="1073"/>
      <c r="F144" s="1064" t="s">
        <v>1061</v>
      </c>
      <c r="G144" s="327"/>
      <c r="J144" s="1063"/>
      <c r="K144" s="1031"/>
      <c r="L144" s="1031"/>
      <c r="M144" s="1031"/>
      <c r="N144" s="1032"/>
    </row>
    <row r="145" spans="2:15" ht="29.15" customHeight="1" x14ac:dyDescent="0.25">
      <c r="B145" s="5"/>
      <c r="C145" s="538"/>
      <c r="D145" s="146"/>
      <c r="E145" s="1073"/>
      <c r="F145" s="1064" t="s">
        <v>1067</v>
      </c>
      <c r="G145" s="327"/>
      <c r="J145" s="1063"/>
    </row>
    <row r="146" spans="2:15" ht="29.15" customHeight="1" thickBot="1" x14ac:dyDescent="0.3">
      <c r="B146" s="5"/>
      <c r="C146" s="692"/>
      <c r="D146" s="146"/>
      <c r="E146" s="1073"/>
      <c r="F146" s="1064" t="s">
        <v>1068</v>
      </c>
      <c r="G146" s="327"/>
      <c r="I146" s="133"/>
      <c r="J146" s="1065"/>
      <c r="K146" s="133"/>
      <c r="M146" s="327"/>
      <c r="N146" s="327"/>
    </row>
    <row r="147" spans="2:15" ht="30.5" customHeight="1" x14ac:dyDescent="0.25">
      <c r="B147" s="5"/>
      <c r="C147" s="5"/>
      <c r="D147" s="5"/>
      <c r="E147" s="1073"/>
      <c r="F147" s="1064" t="s">
        <v>1069</v>
      </c>
      <c r="G147" s="327"/>
      <c r="H147" s="2"/>
      <c r="I147" s="131"/>
      <c r="J147" s="1066"/>
      <c r="L147" s="326"/>
      <c r="M147" s="327"/>
      <c r="N147" s="327"/>
    </row>
    <row r="148" spans="2:15" ht="29.5" customHeight="1" x14ac:dyDescent="0.25">
      <c r="B148" s="5"/>
      <c r="C148" s="5"/>
      <c r="D148" s="5"/>
      <c r="E148" s="1074"/>
      <c r="F148" s="1064" t="s">
        <v>1070</v>
      </c>
      <c r="G148" s="327"/>
      <c r="H148" s="2"/>
      <c r="I148" s="131"/>
      <c r="J148" s="1066"/>
      <c r="M148" s="1137"/>
      <c r="N148" s="1137"/>
      <c r="O148" s="327"/>
    </row>
    <row r="149" spans="2:15" ht="12" customHeight="1" x14ac:dyDescent="0.25">
      <c r="B149" s="5"/>
      <c r="C149" s="5"/>
      <c r="D149" s="20"/>
      <c r="E149" s="1075"/>
      <c r="F149" s="1064" t="s">
        <v>1071</v>
      </c>
      <c r="G149" s="327"/>
      <c r="H149" s="131"/>
      <c r="I149" s="131"/>
      <c r="J149" s="1063"/>
      <c r="M149" s="1137"/>
      <c r="N149" s="1137"/>
      <c r="O149" s="327"/>
    </row>
    <row r="150" spans="2:15" ht="12" customHeight="1" x14ac:dyDescent="0.25">
      <c r="B150" s="5"/>
      <c r="C150" s="5"/>
      <c r="D150" s="20"/>
      <c r="E150" s="1075"/>
      <c r="F150" s="1064" t="s">
        <v>1062</v>
      </c>
      <c r="G150" s="327"/>
      <c r="H150" s="131"/>
      <c r="I150" s="131"/>
      <c r="J150" s="1063"/>
      <c r="M150" s="327"/>
      <c r="N150" s="327"/>
      <c r="O150" s="327"/>
    </row>
    <row r="151" spans="2:15" ht="12" customHeight="1" x14ac:dyDescent="0.25">
      <c r="B151" s="5"/>
      <c r="C151" s="5"/>
      <c r="D151" s="20"/>
      <c r="E151" s="1075"/>
      <c r="F151" s="1064" t="s">
        <v>1063</v>
      </c>
      <c r="G151" s="327"/>
      <c r="H151" s="131"/>
      <c r="I151" s="131"/>
      <c r="J151" s="1063"/>
      <c r="M151" s="327"/>
      <c r="N151" s="327"/>
      <c r="O151" s="327"/>
    </row>
    <row r="152" spans="2:15" ht="12" customHeight="1" x14ac:dyDescent="0.25">
      <c r="B152" s="5"/>
      <c r="C152" s="5"/>
      <c r="D152" s="20"/>
      <c r="E152" s="1075"/>
      <c r="F152" s="1064" t="s">
        <v>1072</v>
      </c>
      <c r="G152" s="327"/>
      <c r="H152" s="131"/>
      <c r="I152" s="131"/>
      <c r="J152" s="1063"/>
      <c r="M152" s="327"/>
      <c r="N152" s="327"/>
      <c r="O152" s="327"/>
    </row>
    <row r="153" spans="2:15" ht="12" customHeight="1" x14ac:dyDescent="0.25">
      <c r="B153" s="5"/>
      <c r="C153" s="5"/>
      <c r="D153" s="20"/>
      <c r="E153" s="1075"/>
      <c r="F153" s="1064" t="s">
        <v>1073</v>
      </c>
      <c r="G153" s="327"/>
      <c r="H153" s="131"/>
      <c r="I153" s="131"/>
      <c r="J153" s="1063"/>
      <c r="M153" s="327"/>
      <c r="N153" s="327"/>
      <c r="O153" s="327"/>
    </row>
    <row r="154" spans="2:15" ht="12" customHeight="1" x14ac:dyDescent="0.25">
      <c r="B154" s="5"/>
      <c r="C154" s="5"/>
      <c r="D154" s="20"/>
      <c r="E154" s="1075"/>
      <c r="F154" s="1064" t="s">
        <v>1074</v>
      </c>
      <c r="G154" s="327"/>
      <c r="H154" s="131"/>
      <c r="I154" s="131"/>
      <c r="J154" s="1063"/>
      <c r="M154" s="327"/>
      <c r="N154" s="327"/>
      <c r="O154" s="327"/>
    </row>
    <row r="155" spans="2:15" ht="12" customHeight="1" x14ac:dyDescent="0.25">
      <c r="B155" s="5"/>
      <c r="C155" s="5"/>
      <c r="D155" s="20"/>
      <c r="E155" s="1075"/>
      <c r="F155" s="1064" t="s">
        <v>1075</v>
      </c>
      <c r="G155" s="327"/>
      <c r="H155" s="131"/>
      <c r="I155" s="131"/>
      <c r="J155" s="1063"/>
      <c r="M155" s="327"/>
      <c r="N155" s="327"/>
      <c r="O155" s="327"/>
    </row>
    <row r="156" spans="2:15" ht="12" customHeight="1" x14ac:dyDescent="0.25">
      <c r="B156" s="5"/>
      <c r="C156" s="5"/>
      <c r="D156" s="20"/>
      <c r="E156" s="1075"/>
      <c r="F156" s="1064" t="s">
        <v>1076</v>
      </c>
      <c r="G156" s="327"/>
      <c r="H156" s="131"/>
      <c r="I156" s="131"/>
      <c r="J156" s="1063"/>
      <c r="M156" s="327"/>
      <c r="N156" s="327"/>
      <c r="O156" s="327"/>
    </row>
    <row r="157" spans="2:15" ht="12" customHeight="1" x14ac:dyDescent="0.25">
      <c r="B157" s="5"/>
      <c r="C157" s="5"/>
      <c r="D157" s="20"/>
      <c r="E157" s="1076"/>
      <c r="F157" s="1067" t="s">
        <v>1077</v>
      </c>
      <c r="G157" s="1068"/>
      <c r="H157" s="1069"/>
      <c r="I157" s="1069"/>
      <c r="J157" s="1070"/>
      <c r="M157" s="327"/>
      <c r="N157" s="327"/>
      <c r="O157" s="327"/>
    </row>
    <row r="158" spans="2:15" ht="12" customHeight="1" x14ac:dyDescent="0.25">
      <c r="B158" s="5"/>
      <c r="C158" s="5"/>
      <c r="D158" s="20"/>
      <c r="E158" s="148"/>
      <c r="H158" s="131"/>
      <c r="I158" s="131"/>
      <c r="M158" s="327"/>
      <c r="N158" s="327"/>
      <c r="O158" s="327"/>
    </row>
    <row r="159" spans="2:15" s="108" customFormat="1" ht="15" customHeight="1" x14ac:dyDescent="0.25">
      <c r="B159" s="149" t="s">
        <v>71</v>
      </c>
      <c r="C159" s="150"/>
      <c r="E159" s="110"/>
      <c r="J159" s="110"/>
      <c r="K159" s="110"/>
      <c r="L159" s="110"/>
      <c r="M159" s="327"/>
      <c r="N159" s="327"/>
      <c r="O159" s="2"/>
    </row>
    <row r="160" spans="2:15" ht="15" customHeight="1" x14ac:dyDescent="0.25">
      <c r="B160" s="756" t="s">
        <v>486</v>
      </c>
      <c r="C160" s="156"/>
      <c r="D160" s="2"/>
      <c r="F160" s="2"/>
      <c r="G160" s="2"/>
      <c r="H160" s="2"/>
      <c r="I160" s="2"/>
      <c r="M160" s="327"/>
      <c r="N160" s="327"/>
    </row>
    <row r="161" spans="2:18" x14ac:dyDescent="0.25">
      <c r="B161" s="151" t="s">
        <v>72</v>
      </c>
      <c r="C161" s="5"/>
      <c r="D161" s="2"/>
      <c r="E161" s="2"/>
      <c r="F161" s="2"/>
      <c r="G161" s="2"/>
      <c r="H161" s="2"/>
      <c r="M161" s="327"/>
      <c r="N161" s="327"/>
    </row>
    <row r="162" spans="2:18" ht="13.5" thickBot="1" x14ac:dyDescent="0.3">
      <c r="B162" s="757" t="s">
        <v>487</v>
      </c>
      <c r="C162" s="5"/>
      <c r="D162" s="2"/>
      <c r="E162" s="2"/>
      <c r="F162" s="2"/>
      <c r="G162" s="2"/>
      <c r="H162" s="2"/>
      <c r="M162" s="327"/>
      <c r="N162" s="327"/>
      <c r="R162" s="152" t="s">
        <v>73</v>
      </c>
    </row>
    <row r="163" spans="2:18" ht="78.5" thickBot="1" x14ac:dyDescent="0.3">
      <c r="B163" s="352" t="s">
        <v>488</v>
      </c>
      <c r="C163" s="323" t="s">
        <v>489</v>
      </c>
      <c r="D163" s="323" t="s">
        <v>493</v>
      </c>
      <c r="E163" s="323" t="s">
        <v>490</v>
      </c>
      <c r="F163" s="323" t="s">
        <v>491</v>
      </c>
      <c r="G163" s="324" t="s">
        <v>492</v>
      </c>
      <c r="H163" s="2"/>
      <c r="I163" s="2"/>
      <c r="N163" s="10"/>
      <c r="R163" s="152" t="s">
        <v>74</v>
      </c>
    </row>
    <row r="164" spans="2:18" ht="13" x14ac:dyDescent="0.25">
      <c r="B164" s="328">
        <f>B136</f>
        <v>0</v>
      </c>
      <c r="C164" s="331"/>
      <c r="D164" s="128"/>
      <c r="E164" s="128"/>
      <c r="F164" s="128"/>
      <c r="G164" s="329"/>
      <c r="H164" s="2"/>
      <c r="I164" s="2"/>
      <c r="N164" s="10"/>
    </row>
    <row r="165" spans="2:18" ht="13.5" thickBot="1" x14ac:dyDescent="0.3">
      <c r="B165" s="539">
        <f>B137</f>
        <v>0</v>
      </c>
      <c r="C165" s="540"/>
      <c r="D165" s="541"/>
      <c r="E165" s="541"/>
      <c r="F165" s="541"/>
      <c r="G165" s="542"/>
      <c r="H165" s="2"/>
      <c r="I165" s="2"/>
      <c r="N165" s="10"/>
    </row>
    <row r="166" spans="2:18" ht="13" x14ac:dyDescent="0.3">
      <c r="B166" s="9"/>
      <c r="C166" s="5"/>
      <c r="D166" s="2"/>
      <c r="E166" s="2"/>
      <c r="F166" s="2"/>
    </row>
    <row r="167" spans="2:18" x14ac:dyDescent="0.25">
      <c r="C167" s="5"/>
      <c r="E167" s="2"/>
      <c r="F167" s="2"/>
    </row>
    <row r="168" spans="2:18" s="108" customFormat="1" ht="15.5" x14ac:dyDescent="0.25">
      <c r="B168" s="155" t="s">
        <v>75</v>
      </c>
      <c r="C168" s="110"/>
      <c r="D168" s="110"/>
      <c r="F168" s="150"/>
      <c r="G168" s="110"/>
      <c r="H168" s="110"/>
      <c r="I168" s="110"/>
      <c r="J168" s="110"/>
      <c r="K168" s="110"/>
      <c r="L168" s="110"/>
      <c r="M168" s="110"/>
    </row>
    <row r="169" spans="2:18" ht="15.5" x14ac:dyDescent="0.25">
      <c r="B169" s="758" t="s">
        <v>494</v>
      </c>
      <c r="E169" s="2"/>
      <c r="F169" s="156"/>
    </row>
    <row r="170" spans="2:18" ht="57" customHeight="1" x14ac:dyDescent="0.25">
      <c r="B170" s="1136" t="s">
        <v>76</v>
      </c>
      <c r="C170" s="1136"/>
      <c r="D170" s="1136"/>
      <c r="F170" s="156"/>
      <c r="M170" s="2"/>
    </row>
    <row r="171" spans="2:18" ht="41" customHeight="1" thickBot="1" x14ac:dyDescent="0.3">
      <c r="B171" s="1134" t="s">
        <v>495</v>
      </c>
      <c r="C171" s="1134"/>
      <c r="D171" s="1134"/>
      <c r="F171" s="156"/>
      <c r="M171" s="2"/>
    </row>
    <row r="172" spans="2:18" ht="26.5" thickBot="1" x14ac:dyDescent="0.3">
      <c r="B172" s="322" t="s">
        <v>496</v>
      </c>
      <c r="C172" s="324" t="s">
        <v>77</v>
      </c>
      <c r="E172" s="158" t="s">
        <v>475</v>
      </c>
      <c r="F172" s="159"/>
      <c r="G172" s="159"/>
      <c r="H172" s="160"/>
      <c r="M172" s="2"/>
    </row>
    <row r="173" spans="2:18" ht="13" x14ac:dyDescent="0.25">
      <c r="B173" s="320">
        <f t="shared" ref="B173:B183" si="5">C136</f>
        <v>0</v>
      </c>
      <c r="C173" s="330">
        <f>IF(B173&gt;0, VLOOKUP(B173,'XIV. Tablas de referencia'!$B$131:$U$145, MATCH($C$21,'XIV. Tablas de referencia'!$B$132:$U$132), FALSE), 0)</f>
        <v>0</v>
      </c>
      <c r="E173" s="161"/>
      <c r="F173" s="162"/>
      <c r="G173" s="162"/>
      <c r="H173" s="163"/>
      <c r="M173" s="2"/>
    </row>
    <row r="174" spans="2:18" ht="13" x14ac:dyDescent="0.25">
      <c r="B174" s="534">
        <f t="shared" si="5"/>
        <v>0</v>
      </c>
      <c r="C174" s="645">
        <f>IF(B174&gt;0, VLOOKUP(B174,'XIV. Tablas de referencia'!$B$131:$U$145, MATCH($C$21,'XIV. Tablas de referencia'!$B$132:$U$132), FALSE), 0)</f>
        <v>0</v>
      </c>
      <c r="E174" s="161"/>
      <c r="F174" s="162"/>
      <c r="G174" s="162"/>
      <c r="H174" s="163"/>
      <c r="M174" s="2"/>
    </row>
    <row r="175" spans="2:18" ht="13" x14ac:dyDescent="0.25">
      <c r="B175" s="534">
        <f t="shared" si="5"/>
        <v>0</v>
      </c>
      <c r="C175" s="645">
        <f>IF(B175&gt;0, VLOOKUP(B175,'XIV. Tablas de referencia'!$B$131:$U$145, MATCH($C$21,'XIV. Tablas de referencia'!$B$132:$U$132), FALSE), 0)</f>
        <v>0</v>
      </c>
      <c r="E175" s="161"/>
      <c r="F175" s="162"/>
      <c r="G175" s="162"/>
      <c r="H175" s="163"/>
      <c r="M175" s="2"/>
    </row>
    <row r="176" spans="2:18" ht="13" x14ac:dyDescent="0.25">
      <c r="B176" s="534">
        <f t="shared" si="5"/>
        <v>0</v>
      </c>
      <c r="C176" s="645">
        <f>IF(B176&gt;0, VLOOKUP(B176,'XIV. Tablas de referencia'!$B$131:$U$145, MATCH($C$21,'XIV. Tablas de referencia'!$B$132:$U$132), FALSE), 0)</f>
        <v>0</v>
      </c>
      <c r="E176" s="161"/>
      <c r="F176" s="162"/>
      <c r="G176" s="162"/>
      <c r="H176" s="163"/>
      <c r="M176" s="2"/>
    </row>
    <row r="177" spans="2:13" ht="13" x14ac:dyDescent="0.25">
      <c r="B177" s="534">
        <f t="shared" si="5"/>
        <v>0</v>
      </c>
      <c r="C177" s="645">
        <f>IF(B177&gt;0, VLOOKUP(B177,'XIV. Tablas de referencia'!$B$131:$U$145, MATCH($C$21,'XIV. Tablas de referencia'!$B$132:$U$132), FALSE), 0)</f>
        <v>0</v>
      </c>
      <c r="E177" s="161"/>
      <c r="F177" s="162"/>
      <c r="G177" s="162"/>
      <c r="H177" s="163"/>
      <c r="M177" s="2"/>
    </row>
    <row r="178" spans="2:13" s="10" customFormat="1" ht="13" x14ac:dyDescent="0.25">
      <c r="B178" s="534">
        <f t="shared" si="5"/>
        <v>0</v>
      </c>
      <c r="C178" s="645">
        <f>IF(B178&gt;0, VLOOKUP(B178,'XIV. Tablas de referencia'!$B$131:$U$145, MATCH($C$21,'XIV. Tablas de referencia'!$B$132:$U$132), FALSE), 0)</f>
        <v>0</v>
      </c>
      <c r="E178" s="161"/>
      <c r="F178" s="162"/>
      <c r="G178" s="162"/>
      <c r="H178" s="163"/>
      <c r="M178" s="2"/>
    </row>
    <row r="179" spans="2:13" ht="13" x14ac:dyDescent="0.25">
      <c r="B179" s="534">
        <f t="shared" si="5"/>
        <v>0</v>
      </c>
      <c r="C179" s="645">
        <f>IF(B179&gt;0, VLOOKUP(B179,'XIV. Tablas de referencia'!$B$131:$U$145, MATCH($C$21,'XIV. Tablas de referencia'!$B$132:$U$132), FALSE), 0)</f>
        <v>0</v>
      </c>
      <c r="E179" s="161"/>
      <c r="F179" s="162"/>
      <c r="G179" s="162"/>
      <c r="H179" s="163"/>
      <c r="M179" s="2"/>
    </row>
    <row r="180" spans="2:13" ht="13" x14ac:dyDescent="0.25">
      <c r="B180" s="534">
        <f t="shared" si="5"/>
        <v>0</v>
      </c>
      <c r="C180" s="645">
        <f>IF(B180&gt;0, VLOOKUP(B180,'XIV. Tablas de referencia'!$B$131:$U$145, MATCH($C$21,'XIV. Tablas de referencia'!$B$132:$U$132), FALSE), 0)</f>
        <v>0</v>
      </c>
      <c r="E180" s="161"/>
      <c r="F180" s="162"/>
      <c r="G180" s="162"/>
      <c r="H180" s="163"/>
      <c r="M180" s="2"/>
    </row>
    <row r="181" spans="2:13" ht="13" x14ac:dyDescent="0.25">
      <c r="B181" s="534">
        <f t="shared" si="5"/>
        <v>0</v>
      </c>
      <c r="C181" s="645">
        <f>IF(B181&gt;0, VLOOKUP(B181,'XIV. Tablas de referencia'!$B$131:$U$145, MATCH($C$21,'XIV. Tablas de referencia'!$B$132:$U$132), FALSE), 0)</f>
        <v>0</v>
      </c>
      <c r="E181" s="161"/>
      <c r="F181" s="162"/>
      <c r="G181" s="162"/>
      <c r="H181" s="163"/>
      <c r="M181" s="2"/>
    </row>
    <row r="182" spans="2:13" ht="13" x14ac:dyDescent="0.25">
      <c r="B182" s="534">
        <f t="shared" si="5"/>
        <v>0</v>
      </c>
      <c r="C182" s="645">
        <f>IF(B182&gt;0, VLOOKUP(B182,'XIV. Tablas de referencia'!$B$131:$U$145, MATCH($C$21,'XIV. Tablas de referencia'!$B$132:$U$132), FALSE), 0)</f>
        <v>0</v>
      </c>
      <c r="E182" s="161"/>
      <c r="F182" s="162"/>
      <c r="G182" s="162"/>
      <c r="H182" s="163"/>
      <c r="M182" s="2"/>
    </row>
    <row r="183" spans="2:13" ht="13.5" thickBot="1" x14ac:dyDescent="0.3">
      <c r="B183" s="535">
        <f t="shared" si="5"/>
        <v>0</v>
      </c>
      <c r="C183" s="543">
        <f>IF(B183&gt;0, VLOOKUP(B183,'XIV. Tablas de referencia'!$B$131:$U$145, MATCH($C$21,'XIV. Tablas de referencia'!$B$132:$U$132), FALSE), 0)</f>
        <v>0</v>
      </c>
      <c r="E183" s="164"/>
      <c r="F183" s="165"/>
      <c r="G183" s="165"/>
      <c r="H183" s="166"/>
      <c r="M183" s="2"/>
    </row>
    <row r="184" spans="2:13" x14ac:dyDescent="0.25">
      <c r="C184" s="5"/>
      <c r="M184" s="2"/>
    </row>
    <row r="185" spans="2:13" ht="45" customHeight="1" x14ac:dyDescent="0.25">
      <c r="B185" s="1138" t="s">
        <v>497</v>
      </c>
      <c r="C185" s="1138"/>
      <c r="D185" s="1138"/>
      <c r="M185" s="2"/>
    </row>
    <row r="186" spans="2:13" s="108" customFormat="1" ht="17.5" x14ac:dyDescent="0.25">
      <c r="B186" s="155" t="s">
        <v>78</v>
      </c>
      <c r="C186" s="150"/>
      <c r="D186" s="150"/>
      <c r="I186" s="110"/>
      <c r="J186" s="110"/>
      <c r="K186" s="110"/>
      <c r="L186" s="110"/>
    </row>
    <row r="187" spans="2:13" ht="15.5" x14ac:dyDescent="0.25">
      <c r="B187" s="758" t="s">
        <v>498</v>
      </c>
      <c r="C187" s="156"/>
      <c r="D187" s="156"/>
      <c r="E187" s="2"/>
      <c r="F187" s="2"/>
      <c r="G187" s="2"/>
      <c r="H187" s="2"/>
      <c r="M187" s="2"/>
    </row>
    <row r="188" spans="2:13" ht="41.15" customHeight="1" x14ac:dyDescent="0.25">
      <c r="B188" s="1139" t="s">
        <v>79</v>
      </c>
      <c r="C188" s="1139"/>
      <c r="D188" s="1139"/>
      <c r="E188" s="1139"/>
      <c r="F188" s="2"/>
      <c r="G188" s="2"/>
      <c r="H188" s="2"/>
      <c r="M188" s="130"/>
    </row>
    <row r="189" spans="2:13" ht="41.15" customHeight="1" thickBot="1" x14ac:dyDescent="0.3">
      <c r="B189" s="1140" t="s">
        <v>499</v>
      </c>
      <c r="C189" s="1140"/>
      <c r="D189" s="1140"/>
      <c r="E189" s="1140"/>
      <c r="F189" s="2"/>
      <c r="G189" s="2"/>
      <c r="H189" s="2"/>
      <c r="M189" s="130"/>
    </row>
    <row r="190" spans="2:13" s="186" customFormat="1" ht="57" customHeight="1" thickBot="1" x14ac:dyDescent="0.4">
      <c r="B190" s="352" t="s">
        <v>484</v>
      </c>
      <c r="C190" s="392" t="str">
        <f t="shared" ref="C190:D190" si="6">C78</f>
        <v>Poblacion 1
Population 1</v>
      </c>
      <c r="D190" s="392" t="str">
        <f t="shared" si="6"/>
        <v>Poblacion 2
Population 2</v>
      </c>
      <c r="E190" s="392" t="str">
        <f t="shared" ref="E190:L190" si="7">E78</f>
        <v>Poblacion 3
Population 3</v>
      </c>
      <c r="F190" s="392" t="str">
        <f t="shared" si="7"/>
        <v>Poblacion 4
Population 4</v>
      </c>
      <c r="G190" s="392" t="str">
        <f t="shared" si="7"/>
        <v>Poblacion 5
Population 5</v>
      </c>
      <c r="H190" s="392" t="str">
        <f t="shared" si="7"/>
        <v>Poblacion 6
Population 6</v>
      </c>
      <c r="I190" s="392" t="str">
        <f t="shared" si="7"/>
        <v>Poblacion 7
Population 7</v>
      </c>
      <c r="J190" s="392" t="str">
        <f t="shared" si="7"/>
        <v>Poblacion 8
Population 8</v>
      </c>
      <c r="K190" s="392" t="str">
        <f t="shared" si="7"/>
        <v>Poblacion 9
Population 9</v>
      </c>
      <c r="L190" s="393" t="str">
        <f t="shared" si="7"/>
        <v>Poblacion 10
Population 10</v>
      </c>
      <c r="M190" s="429"/>
    </row>
    <row r="191" spans="2:13" ht="13" x14ac:dyDescent="0.25">
      <c r="B191" s="395">
        <f>B136</f>
        <v>0</v>
      </c>
      <c r="C191" s="390">
        <v>0</v>
      </c>
      <c r="D191" s="128"/>
      <c r="E191" s="128"/>
      <c r="F191" s="128"/>
      <c r="G191" s="128"/>
      <c r="H191" s="128"/>
      <c r="I191" s="128"/>
      <c r="J191" s="128"/>
      <c r="K191" s="128"/>
      <c r="L191" s="329"/>
      <c r="M191" s="130"/>
    </row>
    <row r="192" spans="2:13" ht="13.5" thickBot="1" x14ac:dyDescent="0.3">
      <c r="B192" s="544">
        <f>B137</f>
        <v>0</v>
      </c>
      <c r="C192" s="545"/>
      <c r="D192" s="541"/>
      <c r="E192" s="541"/>
      <c r="F192" s="541"/>
      <c r="G192" s="541"/>
      <c r="H192" s="541"/>
      <c r="I192" s="541"/>
      <c r="J192" s="541"/>
      <c r="K192" s="541"/>
      <c r="L192" s="542"/>
    </row>
    <row r="193" spans="2:15" ht="13.5" thickBot="1" x14ac:dyDescent="0.3">
      <c r="B193" s="169"/>
      <c r="C193" s="396"/>
      <c r="D193" s="396"/>
      <c r="E193" s="396"/>
      <c r="F193" s="396"/>
      <c r="G193" s="396"/>
      <c r="H193" s="396"/>
      <c r="I193" s="396"/>
      <c r="J193" s="396"/>
      <c r="K193" s="396"/>
      <c r="L193" s="396"/>
    </row>
    <row r="194" spans="2:15" s="186" customFormat="1" ht="38" customHeight="1" thickBot="1" x14ac:dyDescent="0.4">
      <c r="B194" s="243" t="s">
        <v>500</v>
      </c>
      <c r="C194" s="392" t="str">
        <f t="shared" ref="C194:D194" si="8">C190</f>
        <v>Poblacion 1
Population 1</v>
      </c>
      <c r="D194" s="392" t="str">
        <f t="shared" si="8"/>
        <v>Poblacion 2
Population 2</v>
      </c>
      <c r="E194" s="392" t="str">
        <f>E190</f>
        <v>Poblacion 3
Population 3</v>
      </c>
      <c r="F194" s="392" t="str">
        <f t="shared" ref="F194:L194" si="9">F190</f>
        <v>Poblacion 4
Population 4</v>
      </c>
      <c r="G194" s="392" t="str">
        <f t="shared" si="9"/>
        <v>Poblacion 5
Population 5</v>
      </c>
      <c r="H194" s="392" t="str">
        <f t="shared" si="9"/>
        <v>Poblacion 6
Population 6</v>
      </c>
      <c r="I194" s="392" t="str">
        <f t="shared" si="9"/>
        <v>Poblacion 7
Population 7</v>
      </c>
      <c r="J194" s="392" t="str">
        <f t="shared" si="9"/>
        <v>Poblacion 8
Population 8</v>
      </c>
      <c r="K194" s="392" t="str">
        <f t="shared" si="9"/>
        <v>Poblacion 9
Population 9</v>
      </c>
      <c r="L194" s="393" t="str">
        <f t="shared" si="9"/>
        <v>Poblacion 10
Population 10</v>
      </c>
      <c r="M194" s="132"/>
    </row>
    <row r="195" spans="2:15" ht="13" x14ac:dyDescent="0.25">
      <c r="B195" s="388">
        <f t="shared" ref="B195:B205" si="10">C136</f>
        <v>0</v>
      </c>
      <c r="C195" s="390"/>
      <c r="D195" s="128"/>
      <c r="E195" s="128"/>
      <c r="F195" s="128"/>
      <c r="G195" s="128"/>
      <c r="H195" s="128"/>
      <c r="I195" s="128"/>
      <c r="J195" s="128"/>
      <c r="K195" s="128"/>
      <c r="L195" s="329"/>
    </row>
    <row r="196" spans="2:15" s="22" customFormat="1" ht="13" x14ac:dyDescent="0.3">
      <c r="B196" s="546">
        <f t="shared" si="10"/>
        <v>0</v>
      </c>
      <c r="C196" s="547"/>
      <c r="D196" s="646"/>
      <c r="E196" s="646"/>
      <c r="F196" s="646"/>
      <c r="G196" s="646"/>
      <c r="H196" s="646"/>
      <c r="I196" s="646"/>
      <c r="J196" s="646"/>
      <c r="K196" s="646"/>
      <c r="L196" s="647"/>
      <c r="M196" s="10"/>
      <c r="N196" s="96"/>
      <c r="O196" s="96"/>
    </row>
    <row r="197" spans="2:15" ht="13" x14ac:dyDescent="0.25">
      <c r="B197" s="546">
        <f t="shared" si="10"/>
        <v>0</v>
      </c>
      <c r="C197" s="547"/>
      <c r="D197" s="646"/>
      <c r="E197" s="646"/>
      <c r="F197" s="646"/>
      <c r="G197" s="646"/>
      <c r="H197" s="646"/>
      <c r="I197" s="646"/>
      <c r="J197" s="646"/>
      <c r="K197" s="646"/>
      <c r="L197" s="647"/>
      <c r="N197" s="130"/>
      <c r="O197" s="130"/>
    </row>
    <row r="198" spans="2:15" ht="13" x14ac:dyDescent="0.25">
      <c r="B198" s="546">
        <f t="shared" si="10"/>
        <v>0</v>
      </c>
      <c r="C198" s="547"/>
      <c r="D198" s="646"/>
      <c r="E198" s="646"/>
      <c r="F198" s="646"/>
      <c r="G198" s="646"/>
      <c r="H198" s="646"/>
      <c r="I198" s="646"/>
      <c r="J198" s="646"/>
      <c r="K198" s="646"/>
      <c r="L198" s="647"/>
      <c r="N198" s="130"/>
      <c r="O198" s="130"/>
    </row>
    <row r="199" spans="2:15" ht="13" x14ac:dyDescent="0.25">
      <c r="B199" s="546">
        <f t="shared" si="10"/>
        <v>0</v>
      </c>
      <c r="C199" s="547"/>
      <c r="D199" s="646"/>
      <c r="E199" s="646"/>
      <c r="F199" s="646"/>
      <c r="G199" s="646"/>
      <c r="H199" s="646"/>
      <c r="I199" s="646"/>
      <c r="J199" s="646"/>
      <c r="K199" s="646"/>
      <c r="L199" s="647"/>
      <c r="M199" s="95"/>
    </row>
    <row r="200" spans="2:15" s="22" customFormat="1" ht="13" x14ac:dyDescent="0.3">
      <c r="B200" s="546">
        <f t="shared" si="10"/>
        <v>0</v>
      </c>
      <c r="C200" s="547"/>
      <c r="D200" s="646"/>
      <c r="E200" s="646"/>
      <c r="F200" s="646"/>
      <c r="G200" s="646"/>
      <c r="H200" s="646"/>
      <c r="I200" s="646"/>
      <c r="J200" s="646"/>
      <c r="K200" s="646"/>
      <c r="L200" s="647"/>
      <c r="M200" s="95"/>
      <c r="N200" s="96"/>
      <c r="O200" s="96"/>
    </row>
    <row r="201" spans="2:15" ht="13" x14ac:dyDescent="0.25">
      <c r="B201" s="546">
        <f t="shared" si="10"/>
        <v>0</v>
      </c>
      <c r="C201" s="547"/>
      <c r="D201" s="646"/>
      <c r="E201" s="646"/>
      <c r="F201" s="646"/>
      <c r="G201" s="646"/>
      <c r="H201" s="646"/>
      <c r="I201" s="646"/>
      <c r="J201" s="646"/>
      <c r="K201" s="646"/>
      <c r="L201" s="647"/>
      <c r="N201" s="130"/>
      <c r="O201" s="130"/>
    </row>
    <row r="202" spans="2:15" ht="13" x14ac:dyDescent="0.25">
      <c r="B202" s="546">
        <f t="shared" si="10"/>
        <v>0</v>
      </c>
      <c r="C202" s="547"/>
      <c r="D202" s="646"/>
      <c r="E202" s="646"/>
      <c r="F202" s="646"/>
      <c r="G202" s="646"/>
      <c r="H202" s="646"/>
      <c r="I202" s="646"/>
      <c r="J202" s="646"/>
      <c r="K202" s="646"/>
      <c r="L202" s="647"/>
      <c r="N202" s="130"/>
      <c r="O202" s="130"/>
    </row>
    <row r="203" spans="2:15" ht="13" x14ac:dyDescent="0.25">
      <c r="B203" s="546">
        <f t="shared" si="10"/>
        <v>0</v>
      </c>
      <c r="C203" s="547"/>
      <c r="D203" s="646"/>
      <c r="E203" s="646"/>
      <c r="F203" s="646"/>
      <c r="G203" s="646"/>
      <c r="H203" s="646"/>
      <c r="I203" s="646"/>
      <c r="J203" s="646"/>
      <c r="K203" s="646"/>
      <c r="L203" s="647"/>
      <c r="N203" s="130"/>
      <c r="O203" s="130"/>
    </row>
    <row r="204" spans="2:15" ht="13" x14ac:dyDescent="0.25">
      <c r="B204" s="389">
        <f t="shared" si="10"/>
        <v>0</v>
      </c>
      <c r="C204" s="547"/>
      <c r="D204" s="646"/>
      <c r="E204" s="646"/>
      <c r="F204" s="646"/>
      <c r="G204" s="646"/>
      <c r="H204" s="646"/>
      <c r="I204" s="646"/>
      <c r="J204" s="646"/>
      <c r="K204" s="646"/>
      <c r="L204" s="647"/>
      <c r="N204" s="130"/>
      <c r="O204" s="130"/>
    </row>
    <row r="205" spans="2:15" ht="13.5" thickBot="1" x14ac:dyDescent="0.3">
      <c r="B205" s="389">
        <f t="shared" si="10"/>
        <v>0</v>
      </c>
      <c r="C205" s="762"/>
      <c r="D205" s="763"/>
      <c r="E205" s="763"/>
      <c r="F205" s="763"/>
      <c r="G205" s="763"/>
      <c r="H205" s="763"/>
      <c r="I205" s="763"/>
      <c r="J205" s="763"/>
      <c r="K205" s="763"/>
      <c r="L205" s="764"/>
      <c r="N205" s="130"/>
      <c r="O205" s="130"/>
    </row>
    <row r="206" spans="2:15" s="207" customFormat="1" ht="32.5" customHeight="1" thickBot="1" x14ac:dyDescent="0.4">
      <c r="B206" s="767" t="s">
        <v>507</v>
      </c>
      <c r="C206" s="765">
        <f>SUM(C191:C205)</f>
        <v>0</v>
      </c>
      <c r="D206" s="765">
        <f t="shared" ref="D206:L206" si="11">SUM(D191:D205)</f>
        <v>0</v>
      </c>
      <c r="E206" s="765">
        <f t="shared" si="11"/>
        <v>0</v>
      </c>
      <c r="F206" s="765">
        <f t="shared" si="11"/>
        <v>0</v>
      </c>
      <c r="G206" s="765">
        <f t="shared" si="11"/>
        <v>0</v>
      </c>
      <c r="H206" s="765">
        <f t="shared" si="11"/>
        <v>0</v>
      </c>
      <c r="I206" s="765">
        <f t="shared" si="11"/>
        <v>0</v>
      </c>
      <c r="J206" s="765">
        <f t="shared" si="11"/>
        <v>0</v>
      </c>
      <c r="K206" s="765">
        <f t="shared" si="11"/>
        <v>0</v>
      </c>
      <c r="L206" s="766">
        <f t="shared" si="11"/>
        <v>0</v>
      </c>
      <c r="N206" s="124"/>
      <c r="O206" s="124"/>
    </row>
    <row r="207" spans="2:15" ht="13.5" thickBot="1" x14ac:dyDescent="0.3">
      <c r="B207" s="97"/>
      <c r="C207" s="130"/>
      <c r="D207" s="130"/>
      <c r="E207" s="130"/>
      <c r="F207" s="130"/>
      <c r="G207" s="130"/>
      <c r="H207" s="130"/>
      <c r="I207" s="130"/>
      <c r="J207" s="130"/>
      <c r="K207" s="130"/>
      <c r="L207" s="130"/>
      <c r="N207" s="130"/>
      <c r="O207" s="130"/>
    </row>
    <row r="208" spans="2:15" x14ac:dyDescent="0.25">
      <c r="B208" s="1108" t="s">
        <v>501</v>
      </c>
      <c r="C208" s="1109"/>
      <c r="D208" s="1109"/>
      <c r="E208" s="1110"/>
      <c r="F208" s="5"/>
      <c r="G208" s="130"/>
      <c r="H208" s="130"/>
      <c r="I208" s="130"/>
      <c r="J208" s="130"/>
      <c r="K208" s="130"/>
      <c r="L208" s="130"/>
      <c r="N208" s="130"/>
      <c r="O208" s="130"/>
    </row>
    <row r="209" spans="2:15" x14ac:dyDescent="0.25">
      <c r="B209" s="1107"/>
      <c r="C209" s="1111"/>
      <c r="D209" s="1111"/>
      <c r="E209" s="1112"/>
      <c r="F209" s="5"/>
      <c r="G209" s="130"/>
      <c r="H209" s="130"/>
      <c r="I209" s="130"/>
      <c r="J209" s="130"/>
      <c r="K209" s="130"/>
      <c r="L209" s="130"/>
      <c r="N209" s="130"/>
      <c r="O209" s="130"/>
    </row>
    <row r="210" spans="2:15" x14ac:dyDescent="0.25">
      <c r="B210" s="1107"/>
      <c r="C210" s="1111"/>
      <c r="D210" s="1111"/>
      <c r="E210" s="1112"/>
      <c r="F210" s="5"/>
      <c r="G210" s="130"/>
      <c r="H210" s="130"/>
      <c r="I210" s="130"/>
      <c r="J210" s="130"/>
      <c r="K210" s="130"/>
      <c r="L210" s="130"/>
      <c r="N210" s="130"/>
      <c r="O210" s="130"/>
    </row>
    <row r="211" spans="2:15" x14ac:dyDescent="0.25">
      <c r="B211" s="1107"/>
      <c r="C211" s="1111"/>
      <c r="D211" s="1111"/>
      <c r="E211" s="1112"/>
      <c r="F211" s="5"/>
      <c r="N211" s="130"/>
      <c r="O211" s="130"/>
    </row>
    <row r="212" spans="2:15" ht="13" thickBot="1" x14ac:dyDescent="0.3">
      <c r="B212" s="1113"/>
      <c r="C212" s="1114"/>
      <c r="D212" s="1114"/>
      <c r="E212" s="1115"/>
      <c r="N212" s="130"/>
      <c r="O212" s="130"/>
    </row>
    <row r="213" spans="2:15" x14ac:dyDescent="0.25">
      <c r="N213" s="130"/>
      <c r="O213" s="130"/>
    </row>
    <row r="214" spans="2:15" s="108" customFormat="1" ht="15.5" x14ac:dyDescent="0.35">
      <c r="B214" s="170" t="s">
        <v>80</v>
      </c>
      <c r="C214" s="140"/>
      <c r="D214" s="171"/>
      <c r="E214" s="110"/>
      <c r="F214" s="172"/>
      <c r="G214" s="110"/>
      <c r="H214" s="110"/>
      <c r="I214" s="110"/>
      <c r="J214" s="110"/>
      <c r="K214" s="110"/>
      <c r="L214" s="110"/>
      <c r="M214" s="110"/>
    </row>
    <row r="215" spans="2:15" ht="15.5" x14ac:dyDescent="0.35">
      <c r="B215" s="759" t="s">
        <v>502</v>
      </c>
      <c r="C215" s="11"/>
      <c r="D215" s="18"/>
      <c r="F215" s="14"/>
    </row>
    <row r="216" spans="2:15" x14ac:dyDescent="0.25">
      <c r="B216" s="11" t="s">
        <v>81</v>
      </c>
      <c r="C216" s="11"/>
      <c r="D216" s="18"/>
      <c r="F216" s="14"/>
      <c r="G216" s="95"/>
      <c r="H216" s="95"/>
      <c r="I216" s="95"/>
      <c r="J216" s="95"/>
      <c r="K216" s="95"/>
      <c r="L216" s="95"/>
    </row>
    <row r="217" spans="2:15" ht="13" x14ac:dyDescent="0.3">
      <c r="B217" s="760" t="s">
        <v>503</v>
      </c>
      <c r="C217" s="11"/>
      <c r="D217" s="18"/>
      <c r="F217" s="14"/>
      <c r="G217" s="95"/>
      <c r="H217" s="95"/>
      <c r="I217" s="95"/>
      <c r="J217" s="95"/>
      <c r="K217" s="95"/>
      <c r="L217" s="95"/>
    </row>
    <row r="218" spans="2:15" ht="13" x14ac:dyDescent="0.3">
      <c r="B218" s="13"/>
      <c r="C218" s="11"/>
      <c r="D218" s="18"/>
      <c r="F218" s="14"/>
      <c r="G218" s="95"/>
      <c r="H218" s="95"/>
      <c r="I218" s="95"/>
      <c r="J218" s="95"/>
      <c r="K218" s="95"/>
      <c r="L218" s="95"/>
    </row>
    <row r="219" spans="2:15" ht="15" x14ac:dyDescent="0.3">
      <c r="B219" s="173" t="s">
        <v>82</v>
      </c>
      <c r="C219" s="11"/>
      <c r="D219" s="11"/>
      <c r="E219" s="2"/>
      <c r="F219" s="3"/>
      <c r="M219" s="22"/>
    </row>
    <row r="220" spans="2:15" ht="13" x14ac:dyDescent="0.3">
      <c r="B220" s="761" t="s">
        <v>504</v>
      </c>
      <c r="C220" s="11"/>
      <c r="D220" s="11"/>
      <c r="E220" s="2"/>
      <c r="F220" s="3"/>
      <c r="M220" s="22"/>
    </row>
    <row r="221" spans="2:15" ht="31.5" customHeight="1" thickBot="1" x14ac:dyDescent="0.35">
      <c r="B221" s="1136" t="s">
        <v>83</v>
      </c>
      <c r="C221" s="1136"/>
      <c r="D221" s="1136"/>
      <c r="E221" s="1136"/>
      <c r="F221" s="3"/>
      <c r="M221" s="22"/>
    </row>
    <row r="222" spans="2:15" ht="29.5" customHeight="1" thickBot="1" x14ac:dyDescent="0.3">
      <c r="B222" s="1141" t="s">
        <v>981</v>
      </c>
      <c r="C222" s="1141"/>
      <c r="D222" s="1141"/>
      <c r="E222" s="1141"/>
      <c r="F222" s="20"/>
      <c r="G222" s="2"/>
      <c r="H222" s="998" t="s">
        <v>1003</v>
      </c>
      <c r="I222" s="835"/>
      <c r="J222" s="1142" t="s">
        <v>1002</v>
      </c>
      <c r="K222" s="1143"/>
      <c r="L222" s="1143"/>
      <c r="M222" s="1143"/>
      <c r="N222" s="1144"/>
    </row>
    <row r="223" spans="2:15" ht="44.5" customHeight="1" x14ac:dyDescent="0.25">
      <c r="B223" s="157" t="s">
        <v>505</v>
      </c>
      <c r="C223" s="348" t="s">
        <v>785</v>
      </c>
      <c r="D223" s="175" t="s">
        <v>85</v>
      </c>
      <c r="E223" s="175" t="s">
        <v>86</v>
      </c>
      <c r="F223" s="176" t="s">
        <v>87</v>
      </c>
      <c r="H223" s="354" t="s">
        <v>982</v>
      </c>
      <c r="I223" s="836"/>
      <c r="J223" s="360" t="s">
        <v>996</v>
      </c>
      <c r="K223" s="357"/>
      <c r="L223" s="357"/>
      <c r="M223" s="358"/>
      <c r="N223" s="999"/>
    </row>
    <row r="224" spans="2:15" ht="29.5" customHeight="1" x14ac:dyDescent="0.25">
      <c r="B224" s="525"/>
      <c r="C224" s="648"/>
      <c r="D224" s="475"/>
      <c r="E224" s="644">
        <f>IF(ISBLANK(C224),0,VLOOKUP(C224,'XIV. Tablas de referencia'!$B$214:$C$218,2,FALSE))</f>
        <v>0</v>
      </c>
      <c r="F224" s="548">
        <f>IF(ISBLANK(B224), 0, VLOOKUP(B224,'XIV. Tablas de referencia'!$B$182:$E$203,4, FALSE))</f>
        <v>0</v>
      </c>
      <c r="H224" s="355" t="s">
        <v>983</v>
      </c>
      <c r="I224" s="836"/>
      <c r="J224" s="361" t="s">
        <v>997</v>
      </c>
      <c r="K224" s="334"/>
      <c r="L224" s="334"/>
      <c r="M224" s="2"/>
      <c r="N224" s="359"/>
    </row>
    <row r="225" spans="2:14" ht="13" x14ac:dyDescent="0.3">
      <c r="B225" s="525"/>
      <c r="C225" s="648"/>
      <c r="D225" s="648"/>
      <c r="E225" s="644">
        <f>IF(ISBLANK(C225),0,VLOOKUP(C225,'XIV. Tablas de referencia'!$B$214:$C$218,2,FALSE))</f>
        <v>0</v>
      </c>
      <c r="F225" s="548">
        <f>IF(ISBLANK(B225), 0, VLOOKUP(B225,'XIV. Tablas de referencia'!$B$182:$E$203,4, FALSE))</f>
        <v>0</v>
      </c>
      <c r="H225" s="355" t="s">
        <v>984</v>
      </c>
      <c r="I225" s="836"/>
      <c r="J225" s="361" t="s">
        <v>998</v>
      </c>
      <c r="K225" s="334"/>
      <c r="L225" s="334"/>
      <c r="M225" s="22"/>
      <c r="N225" s="359"/>
    </row>
    <row r="226" spans="2:14" s="95" customFormat="1" ht="13" x14ac:dyDescent="0.25">
      <c r="B226" s="525"/>
      <c r="C226" s="648"/>
      <c r="D226" s="648"/>
      <c r="E226" s="644">
        <f>IF(ISBLANK(C226),0,VLOOKUP(C226,'XIV. Tablas de referencia'!$B$214:$C$218,2,FALSE))</f>
        <v>0</v>
      </c>
      <c r="F226" s="548">
        <f>IF(ISBLANK(B226), 0, VLOOKUP(B226,'XIV. Tablas de referencia'!$B$182:$E$203,4, FALSE))</f>
        <v>0</v>
      </c>
      <c r="H226" s="355" t="s">
        <v>985</v>
      </c>
      <c r="I226" s="837"/>
      <c r="J226" s="361" t="s">
        <v>999</v>
      </c>
      <c r="K226" s="334"/>
      <c r="L226" s="334"/>
      <c r="M226" s="10"/>
      <c r="N226" s="1000"/>
    </row>
    <row r="227" spans="2:14" ht="13.5" thickBot="1" x14ac:dyDescent="0.3">
      <c r="B227" s="525"/>
      <c r="C227" s="648"/>
      <c r="D227" s="648"/>
      <c r="E227" s="644">
        <f>IF(ISBLANK(C227),0,VLOOKUP(C227,'XIV. Tablas de referencia'!$B$214:$C$218,2,FALSE))</f>
        <v>0</v>
      </c>
      <c r="F227" s="548">
        <f>IF(ISBLANK(B227), 0, VLOOKUP(B227,'XIV. Tablas de referencia'!$B$182:$E$203,4, FALSE))</f>
        <v>0</v>
      </c>
      <c r="H227" s="355" t="s">
        <v>728</v>
      </c>
      <c r="I227" s="836"/>
      <c r="J227" s="361" t="s">
        <v>1000</v>
      </c>
      <c r="K227" s="334"/>
      <c r="L227" s="334"/>
      <c r="N227" s="359"/>
    </row>
    <row r="228" spans="2:14" ht="42.5" customHeight="1" thickBot="1" x14ac:dyDescent="0.3">
      <c r="B228" s="157" t="s">
        <v>505</v>
      </c>
      <c r="C228" s="348" t="s">
        <v>784</v>
      </c>
      <c r="D228" s="175" t="s">
        <v>88</v>
      </c>
      <c r="E228" s="176" t="s">
        <v>89</v>
      </c>
      <c r="F228" s="2"/>
      <c r="G228" s="2"/>
      <c r="H228" s="355" t="s">
        <v>986</v>
      </c>
      <c r="I228" s="835"/>
      <c r="J228" s="362" t="s">
        <v>1001</v>
      </c>
      <c r="K228" s="363"/>
      <c r="L228" s="363"/>
      <c r="M228" s="364"/>
      <c r="N228" s="365"/>
    </row>
    <row r="229" spans="2:14" ht="37.5" x14ac:dyDescent="0.25">
      <c r="B229" s="452"/>
      <c r="C229" s="475"/>
      <c r="D229" s="649"/>
      <c r="E229" s="476"/>
      <c r="H229" s="355" t="s">
        <v>987</v>
      </c>
      <c r="J229" s="2"/>
      <c r="K229" s="2"/>
      <c r="L229" s="2"/>
      <c r="M229" s="2"/>
    </row>
    <row r="230" spans="2:14" x14ac:dyDescent="0.25">
      <c r="B230" s="525"/>
      <c r="C230" s="648"/>
      <c r="D230" s="477"/>
      <c r="E230" s="550"/>
      <c r="H230" s="355" t="s">
        <v>988</v>
      </c>
      <c r="J230" s="2"/>
      <c r="K230" s="2"/>
      <c r="L230" s="2"/>
      <c r="M230" s="2"/>
    </row>
    <row r="231" spans="2:14" x14ac:dyDescent="0.25">
      <c r="B231" s="525"/>
      <c r="C231" s="648"/>
      <c r="D231" s="477"/>
      <c r="E231" s="550"/>
      <c r="H231" s="355" t="s">
        <v>989</v>
      </c>
      <c r="J231" s="2"/>
      <c r="K231" s="2"/>
      <c r="L231" s="2"/>
      <c r="M231" s="2"/>
    </row>
    <row r="232" spans="2:14" ht="25" x14ac:dyDescent="0.25">
      <c r="B232" s="525"/>
      <c r="C232" s="648"/>
      <c r="D232" s="477"/>
      <c r="E232" s="550"/>
      <c r="H232" s="355" t="s">
        <v>990</v>
      </c>
      <c r="J232" s="2"/>
      <c r="K232" s="2"/>
      <c r="L232" s="2"/>
      <c r="M232" s="2"/>
    </row>
    <row r="233" spans="2:14" ht="25.5" thickBot="1" x14ac:dyDescent="0.3">
      <c r="B233" s="527"/>
      <c r="C233" s="549"/>
      <c r="D233" s="551"/>
      <c r="E233" s="552"/>
      <c r="H233" s="355" t="s">
        <v>991</v>
      </c>
      <c r="J233" s="2"/>
      <c r="K233" s="2"/>
      <c r="L233" s="2"/>
      <c r="M233" s="2"/>
    </row>
    <row r="234" spans="2:14" ht="28" customHeight="1" x14ac:dyDescent="0.3">
      <c r="B234" s="1146" t="s">
        <v>786</v>
      </c>
      <c r="C234" s="1146"/>
      <c r="D234" s="1146"/>
      <c r="E234" s="1146"/>
      <c r="F234" s="8"/>
      <c r="G234" s="2"/>
      <c r="H234" s="355" t="s">
        <v>992</v>
      </c>
      <c r="I234" s="2"/>
      <c r="J234" s="2"/>
      <c r="K234" s="2"/>
      <c r="L234" s="2"/>
      <c r="M234" s="2"/>
    </row>
    <row r="235" spans="2:14" ht="22.5" customHeight="1" x14ac:dyDescent="0.3">
      <c r="B235" s="838" t="s">
        <v>787</v>
      </c>
      <c r="C235" s="222"/>
      <c r="D235" s="222"/>
      <c r="E235" s="222"/>
      <c r="F235" s="8"/>
      <c r="G235" s="2"/>
      <c r="H235" s="355" t="s">
        <v>993</v>
      </c>
      <c r="I235" s="2"/>
      <c r="J235" s="2"/>
      <c r="K235" s="2"/>
      <c r="L235" s="2"/>
      <c r="M235" s="2"/>
    </row>
    <row r="236" spans="2:14" ht="24" customHeight="1" x14ac:dyDescent="0.25">
      <c r="B236" s="173" t="s">
        <v>90</v>
      </c>
      <c r="C236" s="173"/>
      <c r="D236" s="173"/>
      <c r="E236" s="173"/>
      <c r="F236" s="3"/>
      <c r="G236" s="2"/>
      <c r="H236" s="355" t="s">
        <v>995</v>
      </c>
      <c r="I236" s="2"/>
      <c r="J236" s="2"/>
      <c r="K236" s="2"/>
      <c r="L236" s="2"/>
      <c r="M236" s="2"/>
    </row>
    <row r="237" spans="2:14" ht="24" customHeight="1" thickBot="1" x14ac:dyDescent="0.3">
      <c r="B237" s="761" t="s">
        <v>788</v>
      </c>
      <c r="C237" s="173"/>
      <c r="D237" s="173"/>
      <c r="E237" s="173"/>
      <c r="F237" s="3"/>
      <c r="G237" s="2"/>
      <c r="H237" s="356" t="s">
        <v>994</v>
      </c>
      <c r="I237" s="2"/>
      <c r="J237" s="2"/>
      <c r="K237" s="2"/>
      <c r="L237" s="2"/>
      <c r="M237" s="2"/>
    </row>
    <row r="238" spans="2:14" s="20" customFormat="1" ht="31.5" customHeight="1" x14ac:dyDescent="0.25">
      <c r="B238" s="1136" t="s">
        <v>91</v>
      </c>
      <c r="C238" s="1136"/>
      <c r="D238" s="1136"/>
      <c r="E238" s="1136"/>
    </row>
    <row r="239" spans="2:14" s="20" customFormat="1" ht="31.5" customHeight="1" thickBot="1" x14ac:dyDescent="0.3">
      <c r="B239" s="1145" t="s">
        <v>789</v>
      </c>
      <c r="C239" s="1145"/>
      <c r="D239" s="1145"/>
      <c r="E239" s="1145"/>
      <c r="H239" s="337"/>
    </row>
    <row r="240" spans="2:14" ht="31" customHeight="1" thickBot="1" x14ac:dyDescent="0.45">
      <c r="B240" s="269" t="s">
        <v>790</v>
      </c>
      <c r="C240" s="348" t="s">
        <v>791</v>
      </c>
      <c r="D240" s="425" t="s">
        <v>85</v>
      </c>
      <c r="E240" s="71" t="s">
        <v>86</v>
      </c>
      <c r="F240" s="373" t="s">
        <v>89</v>
      </c>
      <c r="J240" s="2"/>
      <c r="K240" s="2"/>
      <c r="L240" s="2"/>
      <c r="M240" s="2"/>
    </row>
    <row r="241" spans="2:13" ht="12" customHeight="1" x14ac:dyDescent="0.3">
      <c r="B241" s="478"/>
      <c r="C241" s="1023"/>
      <c r="D241" s="480"/>
      <c r="E241" s="1001"/>
      <c r="F241" s="484">
        <f>IF(ISBLANK(C241), 0, VLOOKUP(C241,'XIV. Tablas de referencia'!$B$181:$E$203,4, FALSE))</f>
        <v>0</v>
      </c>
      <c r="G241" s="22"/>
      <c r="H241" s="22"/>
      <c r="J241" s="2"/>
      <c r="K241" s="2"/>
      <c r="L241" s="2"/>
      <c r="M241" s="2"/>
    </row>
    <row r="242" spans="2:13" ht="12" customHeight="1" x14ac:dyDescent="0.25">
      <c r="B242" s="525"/>
      <c r="C242" s="1024"/>
      <c r="D242" s="648"/>
      <c r="E242" s="1002"/>
      <c r="F242" s="548">
        <f>IF(ISBLANK(C242), 0, VLOOKUP(C242,'XIV. Tablas de referencia'!$B$154:$E$167,4, FALSE))</f>
        <v>0</v>
      </c>
    </row>
    <row r="243" spans="2:13" ht="12" customHeight="1" thickBot="1" x14ac:dyDescent="0.3">
      <c r="B243" s="525"/>
      <c r="C243" s="1024"/>
      <c r="D243" s="648"/>
      <c r="E243" s="1002"/>
      <c r="F243" s="548">
        <f>IF(ISBLANK(C243), 0, VLOOKUP(C243,'XIV. Tablas de referencia'!$B$154:$E$167,4, FALSE))</f>
        <v>0</v>
      </c>
    </row>
    <row r="244" spans="2:13" ht="28" customHeight="1" thickBot="1" x14ac:dyDescent="0.35">
      <c r="B244" s="269" t="s">
        <v>790</v>
      </c>
      <c r="C244" s="323" t="s">
        <v>793</v>
      </c>
      <c r="D244" s="425" t="s">
        <v>92</v>
      </c>
      <c r="E244" s="483" t="s">
        <v>93</v>
      </c>
      <c r="F244" s="373" t="s">
        <v>89</v>
      </c>
      <c r="J244" s="474"/>
      <c r="K244" s="334"/>
      <c r="L244" s="334"/>
    </row>
    <row r="245" spans="2:13" ht="12" customHeight="1" thickBot="1" x14ac:dyDescent="0.35">
      <c r="B245" s="500"/>
      <c r="C245" s="479"/>
      <c r="D245" s="475"/>
      <c r="E245" s="481">
        <f>IF(ISBLANK(C245),0,'XIV. Tablas de referencia'!C218)</f>
        <v>0</v>
      </c>
      <c r="F245" s="485">
        <f>IF(ISBLANK(C245), 0, 'XIV. Tablas de referencia'!E195)</f>
        <v>0</v>
      </c>
      <c r="G245" s="22"/>
      <c r="H245" s="22"/>
      <c r="J245" s="474"/>
      <c r="K245" s="334"/>
      <c r="L245" s="334"/>
    </row>
    <row r="246" spans="2:13" ht="27.5" customHeight="1" thickBot="1" x14ac:dyDescent="0.35">
      <c r="B246" s="839" t="s">
        <v>790</v>
      </c>
      <c r="C246" s="840" t="s">
        <v>792</v>
      </c>
      <c r="D246" s="425" t="s">
        <v>88</v>
      </c>
      <c r="E246" s="434" t="s">
        <v>89</v>
      </c>
      <c r="G246" s="2"/>
      <c r="H246" s="387"/>
      <c r="I246" s="2"/>
      <c r="J246" s="2"/>
      <c r="K246" s="2"/>
      <c r="L246" s="2"/>
    </row>
    <row r="247" spans="2:13" ht="13" x14ac:dyDescent="0.3">
      <c r="B247" s="452"/>
      <c r="C247" s="475"/>
      <c r="D247" s="477"/>
      <c r="E247" s="476"/>
      <c r="G247" s="22"/>
      <c r="H247" s="432"/>
      <c r="I247" s="22"/>
      <c r="J247" s="22"/>
      <c r="K247" s="22"/>
      <c r="L247" s="22"/>
    </row>
    <row r="248" spans="2:13" x14ac:dyDescent="0.25">
      <c r="B248" s="525"/>
      <c r="C248" s="648"/>
      <c r="D248" s="477"/>
      <c r="E248" s="550"/>
      <c r="H248" s="433"/>
    </row>
    <row r="249" spans="2:13" x14ac:dyDescent="0.25">
      <c r="B249" s="525"/>
      <c r="C249" s="648"/>
      <c r="D249" s="477"/>
      <c r="E249" s="550"/>
      <c r="G249" s="435"/>
      <c r="H249" s="433"/>
    </row>
    <row r="250" spans="2:13" s="22" customFormat="1" ht="13" x14ac:dyDescent="0.3">
      <c r="B250" s="525"/>
      <c r="C250" s="648"/>
      <c r="D250" s="477"/>
      <c r="E250" s="550"/>
      <c r="G250" s="435"/>
      <c r="H250" s="433"/>
      <c r="I250" s="10"/>
      <c r="J250" s="10"/>
      <c r="K250" s="10"/>
      <c r="L250" s="10"/>
      <c r="M250" s="10"/>
    </row>
    <row r="251" spans="2:13" ht="13" thickBot="1" x14ac:dyDescent="0.3">
      <c r="B251" s="527"/>
      <c r="C251" s="549"/>
      <c r="D251" s="551"/>
      <c r="E251" s="552"/>
      <c r="G251" s="435"/>
      <c r="H251" s="433"/>
    </row>
    <row r="252" spans="2:13" ht="41.5" customHeight="1" x14ac:dyDescent="0.3">
      <c r="B252" s="1146" t="s">
        <v>1011</v>
      </c>
      <c r="C252" s="1146"/>
      <c r="D252" s="1146"/>
      <c r="E252" s="1146"/>
      <c r="F252" s="8"/>
      <c r="H252" s="432"/>
    </row>
    <row r="253" spans="2:13" ht="28" customHeight="1" x14ac:dyDescent="0.3">
      <c r="B253" s="1135" t="s">
        <v>1010</v>
      </c>
      <c r="C253" s="1135"/>
      <c r="D253" s="1135"/>
      <c r="E253" s="1135"/>
      <c r="F253" s="8"/>
      <c r="H253" s="433"/>
    </row>
    <row r="254" spans="2:13" ht="13" x14ac:dyDescent="0.3">
      <c r="C254" s="2"/>
      <c r="D254" s="2"/>
      <c r="E254" s="2"/>
      <c r="F254" s="8"/>
      <c r="H254" s="433"/>
    </row>
    <row r="255" spans="2:13" ht="13" x14ac:dyDescent="0.3">
      <c r="B255" s="173" t="s">
        <v>94</v>
      </c>
      <c r="C255" s="13"/>
      <c r="D255" s="13"/>
      <c r="E255" s="13"/>
      <c r="F255" s="8"/>
      <c r="H255" s="433"/>
    </row>
    <row r="256" spans="2:13" ht="13" x14ac:dyDescent="0.3">
      <c r="B256" s="761" t="s">
        <v>794</v>
      </c>
      <c r="C256" s="13"/>
      <c r="D256" s="13"/>
      <c r="E256" s="13"/>
      <c r="F256" s="8"/>
      <c r="H256" s="433"/>
    </row>
    <row r="257" spans="1:60" ht="31" customHeight="1" x14ac:dyDescent="0.3">
      <c r="B257" s="1136" t="s">
        <v>95</v>
      </c>
      <c r="C257" s="1136"/>
      <c r="D257" s="1136"/>
      <c r="E257" s="1136"/>
      <c r="F257" s="178"/>
      <c r="H257" s="433"/>
    </row>
    <row r="258" spans="1:60" ht="22.5" customHeight="1" x14ac:dyDescent="0.3">
      <c r="B258" s="1147" t="s">
        <v>795</v>
      </c>
      <c r="C258" s="1147"/>
      <c r="D258" s="1147"/>
      <c r="E258" s="1147"/>
      <c r="F258" s="178"/>
      <c r="H258" s="433"/>
    </row>
    <row r="259" spans="1:60" s="49" customFormat="1" ht="29.5" customHeight="1" x14ac:dyDescent="0.4">
      <c r="A259" s="2"/>
      <c r="B259" s="841" t="s">
        <v>796</v>
      </c>
      <c r="C259" s="650" t="s">
        <v>97</v>
      </c>
      <c r="D259" s="650" t="s">
        <v>98</v>
      </c>
      <c r="E259" s="2"/>
      <c r="F259" s="3"/>
      <c r="G259" s="10"/>
      <c r="H259" s="433"/>
      <c r="I259" s="10"/>
      <c r="J259" s="10"/>
      <c r="K259" s="10"/>
      <c r="L259" s="10"/>
      <c r="M259" s="10"/>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row>
    <row r="260" spans="1:60" s="49" customFormat="1" x14ac:dyDescent="0.25">
      <c r="A260" s="2"/>
      <c r="B260" s="651" t="s">
        <v>99</v>
      </c>
      <c r="C260" s="652"/>
      <c r="D260" s="653"/>
      <c r="E260" s="2"/>
      <c r="F260" s="3"/>
      <c r="G260" s="332"/>
      <c r="H260" s="433"/>
      <c r="I260" s="10"/>
      <c r="J260" s="10"/>
      <c r="K260" s="10"/>
      <c r="L260" s="10"/>
      <c r="M260" s="10"/>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row>
    <row r="261" spans="1:60" ht="55" customHeight="1" x14ac:dyDescent="0.3">
      <c r="B261" s="1096" t="s">
        <v>1009</v>
      </c>
      <c r="C261" s="1096"/>
      <c r="D261" s="1096"/>
      <c r="E261" s="1096"/>
      <c r="F261" s="3"/>
      <c r="H261" s="433"/>
    </row>
    <row r="262" spans="1:60" x14ac:dyDescent="0.25">
      <c r="B262" s="1096"/>
      <c r="C262" s="1096"/>
      <c r="D262" s="1096"/>
      <c r="E262" s="1096"/>
      <c r="F262" s="3"/>
      <c r="H262" s="433"/>
    </row>
    <row r="263" spans="1:60" s="22" customFormat="1" ht="13.5" thickBot="1" x14ac:dyDescent="0.35">
      <c r="B263" s="2"/>
      <c r="C263" s="10"/>
      <c r="D263" s="10"/>
      <c r="E263" s="10"/>
      <c r="F263" s="10"/>
      <c r="G263" s="10"/>
      <c r="H263" s="433"/>
      <c r="I263" s="10"/>
      <c r="J263" s="10"/>
      <c r="K263" s="10"/>
      <c r="L263" s="10"/>
      <c r="M263" s="10"/>
    </row>
    <row r="264" spans="1:60" ht="13" x14ac:dyDescent="0.25">
      <c r="B264" s="1108" t="s">
        <v>797</v>
      </c>
      <c r="C264" s="1109"/>
      <c r="D264" s="1109"/>
      <c r="E264" s="1110"/>
      <c r="F264" s="5"/>
      <c r="H264" s="432"/>
    </row>
    <row r="265" spans="1:60" x14ac:dyDescent="0.25">
      <c r="B265" s="1107"/>
      <c r="C265" s="1111"/>
      <c r="D265" s="1111"/>
      <c r="E265" s="1112"/>
      <c r="F265" s="5"/>
      <c r="H265" s="433"/>
    </row>
    <row r="266" spans="1:60" x14ac:dyDescent="0.25">
      <c r="B266" s="1107"/>
      <c r="C266" s="1111"/>
      <c r="D266" s="1111"/>
      <c r="E266" s="1112"/>
      <c r="F266" s="5"/>
    </row>
    <row r="267" spans="1:60" x14ac:dyDescent="0.25">
      <c r="B267" s="1107"/>
      <c r="C267" s="1111"/>
      <c r="D267" s="1111"/>
      <c r="E267" s="1112"/>
      <c r="F267" s="5"/>
    </row>
    <row r="268" spans="1:60" x14ac:dyDescent="0.25">
      <c r="B268" s="1107"/>
      <c r="C268" s="1111"/>
      <c r="D268" s="1111"/>
      <c r="E268" s="1112"/>
      <c r="F268" s="5"/>
    </row>
    <row r="269" spans="1:60" x14ac:dyDescent="0.25">
      <c r="B269" s="1107"/>
      <c r="C269" s="1111"/>
      <c r="D269" s="1111"/>
      <c r="E269" s="1112"/>
      <c r="F269" s="5"/>
    </row>
    <row r="270" spans="1:60" x14ac:dyDescent="0.25">
      <c r="B270" s="1107"/>
      <c r="C270" s="1111"/>
      <c r="D270" s="1111"/>
      <c r="E270" s="1112"/>
      <c r="F270" s="5"/>
    </row>
    <row r="271" spans="1:60" x14ac:dyDescent="0.25">
      <c r="B271" s="1107"/>
      <c r="C271" s="1111"/>
      <c r="D271" s="1111"/>
      <c r="E271" s="1112"/>
      <c r="F271" s="5"/>
    </row>
    <row r="272" spans="1:60" x14ac:dyDescent="0.25">
      <c r="B272" s="1107"/>
      <c r="C272" s="1111"/>
      <c r="D272" s="1111"/>
      <c r="E272" s="1112"/>
      <c r="F272" s="5"/>
    </row>
    <row r="273" spans="2:13" x14ac:dyDescent="0.25">
      <c r="B273" s="1107"/>
      <c r="C273" s="1111"/>
      <c r="D273" s="1111"/>
      <c r="E273" s="1112"/>
      <c r="F273" s="5"/>
    </row>
    <row r="274" spans="2:13" x14ac:dyDescent="0.25">
      <c r="B274" s="1107"/>
      <c r="C274" s="1111"/>
      <c r="D274" s="1111"/>
      <c r="E274" s="1112"/>
      <c r="F274" s="5"/>
    </row>
    <row r="275" spans="2:13" x14ac:dyDescent="0.25">
      <c r="B275" s="1107"/>
      <c r="C275" s="1111"/>
      <c r="D275" s="1111"/>
      <c r="E275" s="1112"/>
      <c r="F275" s="5"/>
      <c r="M275" s="2"/>
    </row>
    <row r="276" spans="2:13" x14ac:dyDescent="0.25">
      <c r="B276" s="1107"/>
      <c r="C276" s="1111"/>
      <c r="D276" s="1111"/>
      <c r="E276" s="1112"/>
      <c r="F276" s="5"/>
      <c r="M276" s="2"/>
    </row>
    <row r="277" spans="2:13" ht="13" thickBot="1" x14ac:dyDescent="0.3">
      <c r="B277" s="1113"/>
      <c r="C277" s="1114"/>
      <c r="D277" s="1114"/>
      <c r="E277" s="1115"/>
      <c r="F277" s="5"/>
      <c r="G277" s="2"/>
      <c r="H277" s="2"/>
      <c r="I277" s="2"/>
      <c r="M277" s="2"/>
    </row>
    <row r="278" spans="2:13" x14ac:dyDescent="0.25">
      <c r="B278" s="5"/>
      <c r="C278" s="5"/>
      <c r="D278" s="5"/>
      <c r="E278" s="5"/>
      <c r="F278" s="5"/>
      <c r="G278" s="2"/>
      <c r="H278" s="2"/>
      <c r="I278" s="2"/>
      <c r="M278" s="2"/>
    </row>
    <row r="279" spans="2:13" x14ac:dyDescent="0.25">
      <c r="B279" s="5"/>
      <c r="C279" s="5"/>
      <c r="D279" s="5"/>
      <c r="E279" s="5"/>
      <c r="F279" s="5"/>
      <c r="G279" s="2"/>
      <c r="H279" s="2"/>
      <c r="I279" s="2"/>
      <c r="M279" s="2"/>
    </row>
    <row r="280" spans="2:13" x14ac:dyDescent="0.25">
      <c r="B280" s="5"/>
      <c r="C280" s="5"/>
      <c r="D280" s="5"/>
      <c r="E280" s="5"/>
      <c r="F280" s="5"/>
      <c r="G280" s="2"/>
      <c r="H280" s="2"/>
      <c r="I280" s="2"/>
      <c r="M280" s="2"/>
    </row>
    <row r="281" spans="2:13" x14ac:dyDescent="0.25">
      <c r="B281" s="5"/>
      <c r="C281" s="5"/>
      <c r="D281" s="5"/>
      <c r="E281" s="5"/>
      <c r="F281" s="5"/>
      <c r="G281" s="2"/>
      <c r="H281" s="2"/>
      <c r="I281" s="2"/>
      <c r="J281" s="2"/>
      <c r="K281" s="2"/>
      <c r="L281" s="2"/>
      <c r="M281" s="2"/>
    </row>
    <row r="282" spans="2:13" ht="12" customHeight="1" x14ac:dyDescent="0.25">
      <c r="B282" s="5"/>
      <c r="C282" s="5"/>
      <c r="D282" s="5"/>
      <c r="E282" s="5"/>
      <c r="F282" s="5"/>
      <c r="G282" s="2"/>
      <c r="H282" s="2"/>
      <c r="I282" s="2"/>
      <c r="J282" s="2"/>
      <c r="K282" s="2"/>
      <c r="L282" s="2"/>
      <c r="M282" s="2"/>
    </row>
    <row r="283" spans="2:13" ht="12" customHeight="1" x14ac:dyDescent="0.25">
      <c r="B283" s="5"/>
      <c r="C283" s="5"/>
      <c r="D283" s="5"/>
      <c r="E283" s="5"/>
      <c r="F283" s="5"/>
      <c r="G283" s="2"/>
      <c r="H283" s="2"/>
      <c r="I283" s="2"/>
      <c r="J283" s="2"/>
      <c r="K283" s="2"/>
      <c r="L283" s="2"/>
      <c r="M283" s="2"/>
    </row>
    <row r="284" spans="2:13" ht="12" customHeight="1" x14ac:dyDescent="0.25">
      <c r="B284" s="5"/>
      <c r="C284" s="5"/>
      <c r="D284" s="5"/>
      <c r="E284" s="5"/>
      <c r="F284" s="5"/>
      <c r="G284" s="2"/>
      <c r="H284" s="2"/>
      <c r="I284" s="2"/>
      <c r="J284" s="2"/>
      <c r="K284" s="2"/>
      <c r="L284" s="2"/>
      <c r="M284" s="2"/>
    </row>
    <row r="285" spans="2:13" ht="12" customHeight="1" x14ac:dyDescent="0.25">
      <c r="B285" s="5"/>
      <c r="C285" s="5"/>
      <c r="D285" s="5"/>
      <c r="E285" s="5"/>
      <c r="F285" s="5"/>
      <c r="G285" s="2"/>
      <c r="H285" s="2"/>
      <c r="I285" s="2"/>
      <c r="J285" s="2"/>
      <c r="K285" s="2"/>
      <c r="L285" s="2"/>
      <c r="M285" s="2"/>
    </row>
    <row r="286" spans="2:13" ht="12" customHeight="1" x14ac:dyDescent="0.25">
      <c r="B286" s="5"/>
      <c r="C286" s="5"/>
      <c r="D286" s="5"/>
      <c r="E286" s="5"/>
      <c r="F286" s="5"/>
      <c r="G286" s="2"/>
      <c r="H286" s="2"/>
      <c r="I286" s="2"/>
      <c r="J286" s="2"/>
      <c r="K286" s="2"/>
      <c r="L286" s="2"/>
      <c r="M286" s="2"/>
    </row>
    <row r="287" spans="2:13" ht="12" customHeight="1" x14ac:dyDescent="0.25">
      <c r="B287" s="5"/>
      <c r="C287" s="5"/>
      <c r="D287" s="5"/>
      <c r="E287" s="5"/>
      <c r="F287" s="5"/>
      <c r="G287" s="2"/>
      <c r="H287" s="2"/>
      <c r="I287" s="2"/>
      <c r="J287" s="2"/>
      <c r="K287" s="2"/>
      <c r="L287" s="2"/>
      <c r="M287" s="2"/>
    </row>
    <row r="288" spans="2:13" ht="12" customHeight="1" x14ac:dyDescent="0.25">
      <c r="B288" s="5"/>
      <c r="C288" s="5"/>
      <c r="D288" s="5"/>
      <c r="E288" s="5"/>
      <c r="F288" s="5"/>
      <c r="G288" s="2"/>
      <c r="H288" s="2"/>
      <c r="I288" s="2"/>
      <c r="J288" s="2"/>
      <c r="K288" s="2"/>
      <c r="L288" s="2"/>
      <c r="M288" s="2"/>
    </row>
    <row r="289" spans="2:13" ht="12" customHeight="1" x14ac:dyDescent="0.25">
      <c r="B289" s="5"/>
      <c r="C289" s="5"/>
      <c r="D289" s="5"/>
      <c r="E289" s="5"/>
      <c r="F289" s="5"/>
      <c r="G289" s="2"/>
      <c r="H289" s="2"/>
      <c r="I289" s="2"/>
      <c r="J289" s="2"/>
      <c r="K289" s="2"/>
      <c r="L289" s="2"/>
      <c r="M289" s="2"/>
    </row>
    <row r="290" spans="2:13" ht="12" customHeight="1" x14ac:dyDescent="0.25">
      <c r="B290" s="5"/>
      <c r="C290" s="5"/>
      <c r="D290" s="5"/>
      <c r="E290" s="5"/>
      <c r="F290" s="5"/>
      <c r="G290" s="2"/>
      <c r="H290" s="2"/>
      <c r="I290" s="2"/>
      <c r="J290" s="2"/>
      <c r="K290" s="2"/>
      <c r="L290" s="2"/>
      <c r="M290" s="2"/>
    </row>
    <row r="291" spans="2:13" ht="12" customHeight="1" x14ac:dyDescent="0.25">
      <c r="C291" s="2"/>
      <c r="D291" s="2"/>
      <c r="E291" s="2"/>
      <c r="F291" s="2"/>
      <c r="G291" s="2"/>
      <c r="H291" s="2"/>
      <c r="I291" s="2"/>
      <c r="J291" s="2"/>
      <c r="K291" s="2"/>
      <c r="L291" s="2"/>
      <c r="M291" s="2"/>
    </row>
    <row r="292" spans="2:13" ht="12" customHeight="1" x14ac:dyDescent="0.25">
      <c r="C292" s="2"/>
      <c r="D292" s="2"/>
      <c r="E292" s="2"/>
      <c r="F292" s="2"/>
      <c r="G292" s="2"/>
      <c r="H292" s="2"/>
      <c r="I292" s="2"/>
      <c r="J292" s="2"/>
      <c r="K292" s="2"/>
      <c r="L292" s="2"/>
      <c r="M292" s="2"/>
    </row>
    <row r="293" spans="2:13" ht="12" customHeight="1" x14ac:dyDescent="0.25">
      <c r="C293" s="2"/>
      <c r="D293" s="2"/>
      <c r="E293" s="2"/>
      <c r="F293" s="2"/>
      <c r="G293" s="2"/>
      <c r="H293" s="2"/>
      <c r="I293" s="2"/>
      <c r="J293" s="2"/>
      <c r="K293" s="2"/>
      <c r="L293" s="2"/>
      <c r="M293" s="2"/>
    </row>
    <row r="294" spans="2:13" ht="12" customHeight="1" x14ac:dyDescent="0.25">
      <c r="C294" s="2"/>
      <c r="D294" s="2"/>
      <c r="E294" s="2"/>
      <c r="F294" s="2"/>
      <c r="G294" s="2"/>
      <c r="H294" s="2"/>
      <c r="I294" s="2"/>
      <c r="J294" s="2"/>
      <c r="K294" s="2"/>
      <c r="L294" s="2"/>
      <c r="M294" s="2"/>
    </row>
    <row r="295" spans="2:13" ht="12" customHeight="1" x14ac:dyDescent="0.25">
      <c r="C295" s="2"/>
      <c r="D295" s="2"/>
      <c r="E295" s="2"/>
      <c r="F295" s="2"/>
      <c r="G295" s="2"/>
      <c r="H295" s="2"/>
      <c r="I295" s="2"/>
      <c r="J295" s="2"/>
      <c r="K295" s="2"/>
      <c r="L295" s="2"/>
      <c r="M295" s="2"/>
    </row>
    <row r="296" spans="2:13" ht="12" customHeight="1" x14ac:dyDescent="0.25">
      <c r="C296" s="2"/>
      <c r="D296" s="2"/>
      <c r="E296" s="2"/>
      <c r="F296" s="2"/>
      <c r="G296" s="2"/>
      <c r="H296" s="2"/>
      <c r="I296" s="2"/>
      <c r="J296" s="2"/>
      <c r="K296" s="2"/>
      <c r="L296" s="2"/>
      <c r="M296" s="2"/>
    </row>
    <row r="297" spans="2:13" ht="12" customHeight="1" x14ac:dyDescent="0.25">
      <c r="C297" s="2"/>
      <c r="D297" s="2"/>
      <c r="E297" s="2"/>
      <c r="F297" s="2"/>
      <c r="G297" s="2"/>
      <c r="H297" s="2"/>
      <c r="I297" s="2"/>
      <c r="J297" s="2"/>
      <c r="K297" s="2"/>
      <c r="L297" s="2"/>
      <c r="M297" s="2"/>
    </row>
    <row r="298" spans="2:13" x14ac:dyDescent="0.25">
      <c r="C298" s="2"/>
      <c r="D298" s="2"/>
      <c r="E298" s="2"/>
      <c r="F298" s="2"/>
      <c r="G298" s="2"/>
      <c r="H298" s="2"/>
      <c r="I298" s="2"/>
      <c r="J298" s="2"/>
      <c r="K298" s="2"/>
      <c r="L298" s="2"/>
      <c r="M298" s="2"/>
    </row>
    <row r="299" spans="2:13" x14ac:dyDescent="0.25">
      <c r="C299" s="2"/>
      <c r="D299" s="2"/>
      <c r="E299" s="2"/>
      <c r="F299" s="2"/>
      <c r="G299" s="2"/>
      <c r="H299" s="2"/>
      <c r="I299" s="2"/>
      <c r="M299" s="2"/>
    </row>
    <row r="300" spans="2:13" x14ac:dyDescent="0.25">
      <c r="C300" s="2"/>
      <c r="D300" s="2"/>
      <c r="E300" s="2"/>
      <c r="F300" s="2"/>
      <c r="G300" s="2"/>
      <c r="H300" s="2"/>
      <c r="I300" s="2"/>
      <c r="M300" s="2"/>
    </row>
    <row r="301" spans="2:13" x14ac:dyDescent="0.25">
      <c r="C301" s="2"/>
      <c r="D301" s="2"/>
      <c r="E301" s="2"/>
      <c r="F301" s="2"/>
      <c r="G301" s="2"/>
      <c r="H301" s="2"/>
      <c r="I301" s="2"/>
      <c r="M301" s="2"/>
    </row>
    <row r="302" spans="2:13" x14ac:dyDescent="0.25">
      <c r="C302" s="2"/>
      <c r="D302" s="2"/>
      <c r="E302" s="2"/>
      <c r="F302" s="2"/>
      <c r="G302" s="2"/>
      <c r="H302" s="2"/>
      <c r="I302" s="2"/>
      <c r="M302" s="2"/>
    </row>
    <row r="303" spans="2:13" x14ac:dyDescent="0.25">
      <c r="C303" s="2"/>
      <c r="D303" s="2"/>
      <c r="E303" s="2"/>
      <c r="F303" s="2"/>
      <c r="G303" s="2"/>
      <c r="H303" s="2"/>
      <c r="I303" s="2"/>
      <c r="M303" s="2"/>
    </row>
    <row r="304" spans="2:13" x14ac:dyDescent="0.25">
      <c r="C304" s="2"/>
      <c r="D304" s="2"/>
      <c r="E304" s="2"/>
      <c r="F304" s="2"/>
      <c r="G304" s="2"/>
      <c r="H304" s="2"/>
      <c r="I304" s="2"/>
      <c r="M304" s="2"/>
    </row>
    <row r="305" spans="10:12" s="2" customFormat="1" x14ac:dyDescent="0.25">
      <c r="J305" s="10"/>
      <c r="K305" s="10"/>
      <c r="L305" s="10"/>
    </row>
    <row r="306" spans="10:12" s="2" customFormat="1" x14ac:dyDescent="0.25">
      <c r="J306" s="10"/>
      <c r="K306" s="10"/>
      <c r="L306" s="10"/>
    </row>
    <row r="307" spans="10:12" s="2" customFormat="1" x14ac:dyDescent="0.25"/>
    <row r="308" spans="10:12" s="2" customFormat="1" x14ac:dyDescent="0.25"/>
    <row r="309" spans="10:12" s="2" customFormat="1" x14ac:dyDescent="0.25"/>
  </sheetData>
  <sheetProtection algorithmName="SHA-512" hashValue="9kH1eRYatl2wlETcPgv4CZPU9+OUw/fohzXAY3E6jgecvWusF42+7ZndO5sn7gh6kiE3QETk0aC+W+QMKoiP3g==" saltValue="Twm5org4FLnaE1vM8eKzXQ==" spinCount="100000" sheet="1" objects="1" scenarios="1"/>
  <mergeCells count="45">
    <mergeCell ref="B133:E133"/>
    <mergeCell ref="B253:E253"/>
    <mergeCell ref="F136:G136"/>
    <mergeCell ref="B261:E261"/>
    <mergeCell ref="B234:E234"/>
    <mergeCell ref="B252:E252"/>
    <mergeCell ref="B257:E257"/>
    <mergeCell ref="B258:E258"/>
    <mergeCell ref="B101:D101"/>
    <mergeCell ref="B264:E277"/>
    <mergeCell ref="M148:N148"/>
    <mergeCell ref="M149:N149"/>
    <mergeCell ref="B171:D171"/>
    <mergeCell ref="B170:D170"/>
    <mergeCell ref="B185:D185"/>
    <mergeCell ref="B188:E188"/>
    <mergeCell ref="B208:E212"/>
    <mergeCell ref="B221:E221"/>
    <mergeCell ref="B238:E238"/>
    <mergeCell ref="B189:E189"/>
    <mergeCell ref="B222:E222"/>
    <mergeCell ref="B262:E262"/>
    <mergeCell ref="J222:N222"/>
    <mergeCell ref="B239:E239"/>
    <mergeCell ref="C4:E4"/>
    <mergeCell ref="C5:E5"/>
    <mergeCell ref="C6:E6"/>
    <mergeCell ref="C8:E8"/>
    <mergeCell ref="C9:E9"/>
    <mergeCell ref="E135:J135"/>
    <mergeCell ref="B46:G46"/>
    <mergeCell ref="B45:G45"/>
    <mergeCell ref="B30:G30"/>
    <mergeCell ref="F103:I113"/>
    <mergeCell ref="F117:I129"/>
    <mergeCell ref="I31:L43"/>
    <mergeCell ref="B49:E49"/>
    <mergeCell ref="B71:E74"/>
    <mergeCell ref="B93:E97"/>
    <mergeCell ref="B51:E51"/>
    <mergeCell ref="B117:C117"/>
    <mergeCell ref="B77:H77"/>
    <mergeCell ref="B102:D102"/>
    <mergeCell ref="B118:C118"/>
    <mergeCell ref="B134:E134"/>
  </mergeCells>
  <phoneticPr fontId="38" type="noConversion"/>
  <dataValidations xWindow="557" yWindow="688" count="18">
    <dataValidation type="list" allowBlank="1" showInputMessage="1" showErrorMessage="1" promptTitle="Temp. anual " prompt="Seleccione la temperatura más cercana en °C_x000a_Select the closest temperature in °C" sqref="C21" xr:uid="{00000000-0002-0000-0200-000000000000}">
      <formula1>"&lt;10,11,12,13,14,15,16,17,18,19,20,21,22,23,24,25,26,27,&gt;28"</formula1>
    </dataValidation>
    <dataValidation type="decimal" allowBlank="1" showErrorMessage="1" error="Enter number of days to the nearest decimal" sqref="F32:F43" xr:uid="{00000000-0002-0000-0200-000001000000}">
      <formula1>0</formula1>
      <formula2>E32</formula2>
    </dataValidation>
    <dataValidation allowBlank="1" sqref="G32:G43 E32:E43" xr:uid="{00000000-0002-0000-0200-000002000000}"/>
    <dataValidation showInputMessage="1" showErrorMessage="1" promptTitle="ID de Proyecto en la Reserva" prompt="ID del proyecto en el formato &quot;CAR###&quot;_x000a_Project ID in the format &quot;CAR###&quot;" sqref="C24" xr:uid="{00000000-0002-0000-0200-000003000000}"/>
    <dataValidation type="list" allowBlank="1" showInputMessage="1" showErrorMessage="1" sqref="B136:B137" xr:uid="{00000000-0002-0000-0200-000005000000}">
      <formula1>$E$137:$E$139</formula1>
    </dataValidation>
    <dataValidation type="decimal" allowBlank="1" showInputMessage="1" showErrorMessage="1" error="Must enter fraction in decimal format!" prompt="Input as a decimal (0-1)." sqref="N197:O198" xr:uid="{00000000-0002-0000-0200-000007000000}">
      <formula1>0</formula1>
      <formula2>1</formula2>
    </dataValidation>
    <dataValidation type="decimal" allowBlank="1" showInputMessage="1" showErrorMessage="1" error="Must enter fraction in decimal format!" prompt="Input as decimal (0-1)" sqref="M188:M191 N201:O213 G207:L210 C207:F207" xr:uid="{00000000-0002-0000-0200-000008000000}">
      <formula1>0</formula1>
      <formula2>1</formula2>
    </dataValidation>
    <dataValidation type="list" allowBlank="1" showInputMessage="1" showErrorMessage="1" sqref="E164:G165" xr:uid="{00000000-0002-0000-0200-000009000000}">
      <formula1>$B$79:$B$90</formula1>
    </dataValidation>
    <dataValidation type="decimal" allowBlank="1" showInputMessage="1" showErrorMessage="1" error="Must enter fraction in decimal format!" prompt="Ingrese el porcentaje en decimal (0-1)." sqref="C191:L192" xr:uid="{00000000-0002-0000-0200-00000B000000}">
      <formula1>0</formula1>
      <formula2>1</formula2>
    </dataValidation>
    <dataValidation type="decimal" allowBlank="1" showInputMessage="1" showErrorMessage="1" error="Must enter fraction in decimal format!" prompt="Ingrese el porcentaje en decimal (0-1)" sqref="C195:L206" xr:uid="{00000000-0002-0000-0200-00000C000000}">
      <formula1>0</formula1>
      <formula2>1</formula2>
    </dataValidation>
    <dataValidation type="list" allowBlank="1" showInputMessage="1" showErrorMessage="1" sqref="C241:C243" xr:uid="{00000000-0002-0000-0200-00000E000000}">
      <formula1>$H$223:$H$231</formula1>
    </dataValidation>
    <dataValidation type="list" allowBlank="1" showInputMessage="1" showErrorMessage="1" sqref="C245" xr:uid="{00000000-0002-0000-0200-00000F000000}">
      <formula1>$H$237</formula1>
    </dataValidation>
    <dataValidation type="whole" allowBlank="1" showInputMessage="1" showErrorMessage="1" error="Enter a 0 or a 1 !" prompt="Introduzca 1 si reporta reducción de emisiones para este mes, introduzca 0 de caso contrario_x000a_Enter 1 if you report emission reductions for this month, otherwise enter 0." sqref="D32:D43" xr:uid="{00000000-0002-0000-0200-000010000000}">
      <formula1>0</formula1>
      <formula2>1</formula2>
    </dataValidation>
    <dataValidation type="list" showInputMessage="1" showErrorMessage="1" sqref="C164:C165" xr:uid="{00000000-0002-0000-0200-000006000000}">
      <formula1>$R$162:$R$163</formula1>
    </dataValidation>
    <dataValidation type="list" allowBlank="1" showInputMessage="1" showErrorMessage="1" sqref="B224:B227" xr:uid="{00000000-0002-0000-0200-00000D000000}">
      <formula1>$J$223:$J$228</formula1>
    </dataValidation>
    <dataValidation type="list" allowBlank="1" showInputMessage="1" showErrorMessage="1" prompt="Seleccione de la lista _x000a_Select from the list" sqref="C16" xr:uid="{00000000-0002-0000-0200-000012000000}">
      <formula1>$Q$26:$Q$57</formula1>
    </dataValidation>
    <dataValidation type="list" allowBlank="1" showInputMessage="1" showErrorMessage="1" sqref="C53:C67" xr:uid="{00000000-0002-0000-0200-000011000000}">
      <formula1>$G$53:$G$68</formula1>
    </dataValidation>
    <dataValidation type="list" allowBlank="1" showInputMessage="1" showErrorMessage="1" sqref="C136:C146" xr:uid="{00000000-0002-0000-0200-00000A000000}">
      <formula1>$F$137:$F$157</formula1>
    </dataValidation>
  </dataValidations>
  <pageMargins left="0.75" right="0.75" top="1" bottom="1" header="0.5" footer="0.5"/>
  <pageSetup paperSize="9" scale="24" orientation="portrait" horizontalDpi="4294967292" verticalDpi="4294967292" r:id="rId1"/>
  <colBreaks count="1" manualBreakCount="1">
    <brk id="14" max="1048575" man="1"/>
  </colBreaks>
  <extLst>
    <ext xmlns:x14="http://schemas.microsoft.com/office/spreadsheetml/2009/9/main" uri="{CCE6A557-97BC-4b89-ADB6-D9C93CAAB3DF}">
      <x14:dataValidations xmlns:xm="http://schemas.microsoft.com/office/excel/2006/main" xWindow="557" yWindow="688" count="2">
        <x14:dataValidation type="list" allowBlank="1" showInputMessage="1" showErrorMessage="1" xr:uid="{8233D2C3-D527-403F-9D7C-EFF817CE829E}">
          <x14:formula1>
            <xm:f>'XIV. Tablas de referencia'!$B$214:$B$218</xm:f>
          </x14:formula1>
          <xm:sqref>C224:C227</xm:sqref>
        </x14:dataValidation>
        <x14:dataValidation type="list" allowBlank="1" showInputMessage="1" showErrorMessage="1" xr:uid="{4718ED55-C669-4E80-9DE3-189B5C4E3470}">
          <x14:formula1>
            <xm:f>'XIV. Tablas de referencia'!$D$132:$M$132</xm:f>
          </x14:formula1>
          <xm:sqref>C20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298"/>
  <sheetViews>
    <sheetView showGridLines="0" topLeftCell="A229" zoomScale="110" zoomScaleNormal="110" zoomScalePageLayoutView="125" workbookViewId="0">
      <selection activeCell="H246" sqref="H246"/>
    </sheetView>
  </sheetViews>
  <sheetFormatPr defaultColWidth="8.83203125" defaultRowHeight="12.5" x14ac:dyDescent="0.25"/>
  <cols>
    <col min="1" max="1" width="6.5" style="2" customWidth="1"/>
    <col min="2" max="2" width="26" style="2" customWidth="1"/>
    <col min="3" max="3" width="23.1640625" style="2" customWidth="1"/>
    <col min="4" max="4" width="21.58203125" style="2" customWidth="1"/>
    <col min="5" max="5" width="25" style="2" customWidth="1"/>
    <col min="6" max="6" width="27.33203125" style="2" customWidth="1"/>
    <col min="7" max="7" width="20" style="2" customWidth="1"/>
    <col min="8" max="8" width="17.75" style="2" customWidth="1"/>
    <col min="9" max="9" width="23" style="2" customWidth="1"/>
    <col min="10" max="10" width="16.58203125" style="2" customWidth="1"/>
    <col min="11" max="11" width="11.6640625" style="2" customWidth="1"/>
    <col min="12" max="14" width="14.83203125" style="2" customWidth="1"/>
    <col min="15" max="16384" width="8.83203125" style="2"/>
  </cols>
  <sheetData>
    <row r="1" spans="2:14" ht="21" customHeight="1" x14ac:dyDescent="0.4">
      <c r="B1" s="6" t="s">
        <v>100</v>
      </c>
    </row>
    <row r="2" spans="2:14" ht="17.5" x14ac:dyDescent="0.35">
      <c r="B2" s="768" t="s">
        <v>798</v>
      </c>
    </row>
    <row r="3" spans="2:14" ht="21" customHeight="1" x14ac:dyDescent="0.3">
      <c r="B3" s="9" t="s">
        <v>799</v>
      </c>
      <c r="J3" s="131"/>
      <c r="K3" s="131"/>
      <c r="L3" s="131"/>
      <c r="M3" s="131"/>
      <c r="N3" s="131"/>
    </row>
    <row r="4" spans="2:14" ht="13" x14ac:dyDescent="0.3">
      <c r="B4" s="512" t="s">
        <v>398</v>
      </c>
      <c r="C4" s="1120" t="s">
        <v>802</v>
      </c>
      <c r="D4" s="1121"/>
      <c r="E4" s="1121"/>
      <c r="F4" s="1122"/>
      <c r="J4" s="131"/>
      <c r="K4" s="131"/>
      <c r="L4" s="131"/>
      <c r="M4" s="131"/>
      <c r="N4" s="131"/>
    </row>
    <row r="5" spans="2:14" ht="13" x14ac:dyDescent="0.3">
      <c r="B5" s="513" t="s">
        <v>370</v>
      </c>
      <c r="C5" s="1123" t="s">
        <v>803</v>
      </c>
      <c r="D5" s="1124"/>
      <c r="E5" s="1124"/>
      <c r="F5" s="1125"/>
      <c r="J5" s="131"/>
      <c r="K5" s="131"/>
      <c r="L5" s="131"/>
      <c r="M5" s="131"/>
      <c r="N5" s="131"/>
    </row>
    <row r="6" spans="2:14" ht="15" customHeight="1" x14ac:dyDescent="0.3">
      <c r="B6" s="515" t="s">
        <v>800</v>
      </c>
      <c r="C6" s="1224" t="s">
        <v>804</v>
      </c>
      <c r="D6" s="1225"/>
      <c r="E6" s="1225"/>
      <c r="F6" s="1226"/>
      <c r="J6" s="131"/>
      <c r="K6" s="131"/>
      <c r="L6" s="131"/>
      <c r="M6" s="131"/>
      <c r="N6" s="131"/>
    </row>
    <row r="7" spans="2:14" ht="13" x14ac:dyDescent="0.3">
      <c r="B7" s="514" t="s">
        <v>317</v>
      </c>
      <c r="C7" s="1077" t="s">
        <v>805</v>
      </c>
      <c r="D7" s="1126"/>
      <c r="E7" s="1126"/>
      <c r="F7" s="1078"/>
      <c r="J7" s="131"/>
      <c r="K7" s="131"/>
      <c r="L7" s="131"/>
      <c r="M7" s="131"/>
      <c r="N7" s="131"/>
    </row>
    <row r="8" spans="2:14" ht="13" x14ac:dyDescent="0.3">
      <c r="B8" s="842" t="s">
        <v>801</v>
      </c>
      <c r="C8" s="1130" t="s">
        <v>806</v>
      </c>
      <c r="D8" s="1131"/>
      <c r="E8" s="1131"/>
      <c r="F8" s="1132"/>
      <c r="G8" s="10"/>
      <c r="H8" s="10"/>
      <c r="I8" s="10"/>
      <c r="J8" s="10"/>
      <c r="K8" s="10"/>
      <c r="L8" s="10"/>
      <c r="M8" s="10"/>
    </row>
    <row r="9" spans="2:14" x14ac:dyDescent="0.25">
      <c r="C9" s="11"/>
      <c r="D9" s="18"/>
      <c r="J9" s="131"/>
      <c r="K9" s="131"/>
      <c r="L9" s="131"/>
      <c r="M9" s="131"/>
      <c r="N9" s="131"/>
    </row>
    <row r="10" spans="2:14" s="179" customFormat="1" ht="15.5" x14ac:dyDescent="0.35">
      <c r="B10" s="180" t="s">
        <v>102</v>
      </c>
      <c r="C10" s="181"/>
      <c r="D10" s="181"/>
      <c r="E10" s="182"/>
      <c r="H10" s="182"/>
      <c r="I10" s="182"/>
      <c r="J10" s="183"/>
      <c r="K10" s="183"/>
      <c r="L10" s="183"/>
      <c r="M10" s="183"/>
      <c r="N10" s="183"/>
    </row>
    <row r="11" spans="2:14" ht="15.5" x14ac:dyDescent="0.35">
      <c r="B11" s="754" t="s">
        <v>807</v>
      </c>
      <c r="C11" s="125"/>
      <c r="D11" s="125"/>
      <c r="E11" s="3"/>
      <c r="H11" s="3"/>
      <c r="I11" s="3"/>
      <c r="J11" s="131"/>
      <c r="K11" s="131"/>
      <c r="L11" s="131"/>
      <c r="M11" s="131"/>
      <c r="N11" s="131"/>
    </row>
    <row r="12" spans="2:14" ht="13" x14ac:dyDescent="0.25">
      <c r="B12" s="1162" t="s">
        <v>103</v>
      </c>
      <c r="C12" s="1162"/>
      <c r="D12" s="1162"/>
      <c r="E12" s="1162"/>
      <c r="F12" s="1162"/>
      <c r="G12" s="1162"/>
      <c r="H12" s="1162"/>
      <c r="I12" s="1162"/>
      <c r="J12" s="131"/>
      <c r="K12" s="131"/>
      <c r="L12" s="131"/>
      <c r="M12" s="131"/>
      <c r="N12" s="131"/>
    </row>
    <row r="13" spans="2:14" ht="13" x14ac:dyDescent="0.25">
      <c r="B13" s="1168" t="s">
        <v>808</v>
      </c>
      <c r="C13" s="1168"/>
      <c r="D13" s="1168"/>
      <c r="E13" s="1168"/>
      <c r="F13" s="1168"/>
      <c r="G13" s="1168"/>
      <c r="H13" s="1168"/>
      <c r="I13" s="1168"/>
      <c r="J13" s="131"/>
      <c r="K13" s="131"/>
      <c r="L13" s="131"/>
      <c r="M13" s="131"/>
      <c r="N13" s="131"/>
    </row>
    <row r="14" spans="2:14" ht="13" x14ac:dyDescent="0.25">
      <c r="B14" s="843"/>
      <c r="C14" s="843"/>
      <c r="D14" s="843"/>
      <c r="E14" s="843"/>
      <c r="F14" s="843"/>
      <c r="G14" s="843"/>
      <c r="H14" s="843"/>
      <c r="I14" s="843"/>
      <c r="J14" s="131"/>
      <c r="K14" s="131"/>
      <c r="L14" s="131"/>
      <c r="M14" s="131"/>
      <c r="N14" s="131"/>
    </row>
    <row r="15" spans="2:14" ht="14" x14ac:dyDescent="0.25">
      <c r="B15" s="184" t="s">
        <v>104</v>
      </c>
      <c r="C15" s="185"/>
      <c r="D15" s="185"/>
      <c r="E15" s="186"/>
      <c r="F15" s="186"/>
      <c r="G15" s="186"/>
      <c r="H15" s="186" t="s">
        <v>105</v>
      </c>
      <c r="I15" s="186"/>
      <c r="J15" s="131"/>
      <c r="K15" s="131"/>
      <c r="L15" s="131"/>
      <c r="M15" s="131"/>
      <c r="N15" s="131"/>
    </row>
    <row r="16" spans="2:14" ht="14" x14ac:dyDescent="0.25">
      <c r="B16" s="844" t="s">
        <v>809</v>
      </c>
      <c r="C16" s="185"/>
      <c r="D16" s="185"/>
      <c r="E16" s="186"/>
      <c r="F16" s="186"/>
      <c r="G16" s="186"/>
      <c r="H16" s="186"/>
      <c r="I16" s="186"/>
      <c r="J16" s="131"/>
      <c r="K16" s="131"/>
      <c r="L16" s="131"/>
      <c r="M16" s="131"/>
      <c r="N16" s="131"/>
    </row>
    <row r="17" spans="2:14" ht="29.5" customHeight="1" x14ac:dyDescent="0.25">
      <c r="B17" s="1136" t="s">
        <v>811</v>
      </c>
      <c r="C17" s="1136"/>
      <c r="D17" s="1136"/>
      <c r="E17" s="1136"/>
      <c r="F17" s="1136"/>
      <c r="G17" s="1136"/>
      <c r="H17" s="186"/>
      <c r="I17" s="186"/>
      <c r="J17" s="131"/>
      <c r="K17" s="131"/>
      <c r="L17" s="131"/>
      <c r="M17" s="131"/>
      <c r="N17" s="131"/>
    </row>
    <row r="18" spans="2:14" ht="35.5" customHeight="1" thickBot="1" x14ac:dyDescent="0.3">
      <c r="B18" s="1147" t="s">
        <v>810</v>
      </c>
      <c r="C18" s="1147"/>
      <c r="D18" s="1147"/>
      <c r="E18" s="1147"/>
      <c r="F18" s="1147"/>
      <c r="G18" s="1147"/>
      <c r="H18" s="1147"/>
      <c r="I18" s="186"/>
      <c r="J18" s="131"/>
      <c r="K18" s="131"/>
      <c r="L18" s="131"/>
      <c r="M18" s="131"/>
      <c r="N18" s="131"/>
    </row>
    <row r="19" spans="2:14" ht="39" x14ac:dyDescent="0.25">
      <c r="B19" s="157" t="s">
        <v>442</v>
      </c>
      <c r="C19" s="348" t="s">
        <v>814</v>
      </c>
      <c r="D19" s="848" t="s">
        <v>815</v>
      </c>
      <c r="E19" s="186"/>
      <c r="K19" s="131"/>
      <c r="L19" s="131"/>
      <c r="M19" s="131"/>
      <c r="N19" s="131"/>
    </row>
    <row r="20" spans="2:14" x14ac:dyDescent="0.25">
      <c r="B20" s="845" t="str">
        <f>'III. Datos Entrada-BE'!B79</f>
        <v>enero</v>
      </c>
      <c r="C20" s="847"/>
      <c r="D20" s="849">
        <f>IFERROR(IF(NOT(ISBLANK(C20)),C20,0.85),0)</f>
        <v>0.85</v>
      </c>
      <c r="E20" s="186"/>
      <c r="K20" s="131"/>
      <c r="L20" s="131"/>
      <c r="M20" s="131"/>
      <c r="N20" s="131"/>
    </row>
    <row r="21" spans="2:14" x14ac:dyDescent="0.25">
      <c r="B21" s="845" t="str">
        <f>'III. Datos Entrada-BE'!B80</f>
        <v>febrero</v>
      </c>
      <c r="C21" s="847"/>
      <c r="D21" s="849">
        <f t="shared" ref="D21:D31" si="0">IFERROR(IF(NOT(ISBLANK(C21)),C21,0.85),0)</f>
        <v>0.85</v>
      </c>
      <c r="E21" s="186"/>
      <c r="K21" s="131"/>
      <c r="L21" s="131"/>
      <c r="M21" s="131"/>
      <c r="N21" s="131"/>
    </row>
    <row r="22" spans="2:14" x14ac:dyDescent="0.25">
      <c r="B22" s="845" t="str">
        <f>'III. Datos Entrada-BE'!B81</f>
        <v>marzo</v>
      </c>
      <c r="C22" s="847"/>
      <c r="D22" s="849">
        <f t="shared" si="0"/>
        <v>0.85</v>
      </c>
      <c r="E22" s="186"/>
      <c r="K22" s="131"/>
      <c r="L22" s="131"/>
      <c r="M22" s="131"/>
      <c r="N22" s="131"/>
    </row>
    <row r="23" spans="2:14" x14ac:dyDescent="0.25">
      <c r="B23" s="845" t="str">
        <f>'III. Datos Entrada-BE'!B82</f>
        <v>abril</v>
      </c>
      <c r="C23" s="847"/>
      <c r="D23" s="849">
        <f t="shared" si="0"/>
        <v>0.85</v>
      </c>
      <c r="E23" s="186"/>
      <c r="K23" s="131"/>
      <c r="L23" s="131"/>
      <c r="M23" s="131"/>
      <c r="N23" s="131"/>
    </row>
    <row r="24" spans="2:14" x14ac:dyDescent="0.25">
      <c r="B24" s="845" t="str">
        <f>'III. Datos Entrada-BE'!B83</f>
        <v>mayo</v>
      </c>
      <c r="C24" s="847"/>
      <c r="D24" s="849">
        <f t="shared" si="0"/>
        <v>0.85</v>
      </c>
      <c r="E24" s="186"/>
      <c r="K24" s="131"/>
      <c r="L24" s="131"/>
      <c r="M24" s="131"/>
      <c r="N24" s="131"/>
    </row>
    <row r="25" spans="2:14" x14ac:dyDescent="0.25">
      <c r="B25" s="845" t="str">
        <f>'III. Datos Entrada-BE'!B84</f>
        <v>junio</v>
      </c>
      <c r="C25" s="847"/>
      <c r="D25" s="849">
        <f t="shared" si="0"/>
        <v>0.85</v>
      </c>
      <c r="E25" s="186"/>
      <c r="K25" s="131"/>
      <c r="L25" s="131"/>
      <c r="M25" s="131"/>
      <c r="N25" s="131"/>
    </row>
    <row r="26" spans="2:14" x14ac:dyDescent="0.25">
      <c r="B26" s="845" t="str">
        <f>'III. Datos Entrada-BE'!B85</f>
        <v>julio</v>
      </c>
      <c r="C26" s="847"/>
      <c r="D26" s="849">
        <f t="shared" si="0"/>
        <v>0.85</v>
      </c>
      <c r="E26" s="186"/>
      <c r="K26" s="131"/>
      <c r="L26" s="131"/>
      <c r="M26" s="131"/>
      <c r="N26" s="131"/>
    </row>
    <row r="27" spans="2:14" x14ac:dyDescent="0.25">
      <c r="B27" s="845" t="str">
        <f>'III. Datos Entrada-BE'!B86</f>
        <v>agosto</v>
      </c>
      <c r="C27" s="847"/>
      <c r="D27" s="849">
        <f t="shared" si="0"/>
        <v>0.85</v>
      </c>
      <c r="E27" s="186"/>
      <c r="K27" s="131"/>
      <c r="L27" s="131"/>
      <c r="M27" s="131"/>
      <c r="N27" s="131"/>
    </row>
    <row r="28" spans="2:14" x14ac:dyDescent="0.25">
      <c r="B28" s="845" t="str">
        <f>'III. Datos Entrada-BE'!B87</f>
        <v>septiembre</v>
      </c>
      <c r="C28" s="847"/>
      <c r="D28" s="849">
        <f t="shared" si="0"/>
        <v>0.85</v>
      </c>
      <c r="E28" s="186"/>
      <c r="K28" s="131"/>
      <c r="L28" s="131"/>
      <c r="M28" s="131"/>
      <c r="N28" s="131"/>
    </row>
    <row r="29" spans="2:14" x14ac:dyDescent="0.25">
      <c r="B29" s="845" t="str">
        <f>'III. Datos Entrada-BE'!B88</f>
        <v>octubre</v>
      </c>
      <c r="C29" s="847"/>
      <c r="D29" s="849">
        <f t="shared" si="0"/>
        <v>0.85</v>
      </c>
      <c r="E29" s="186"/>
      <c r="K29" s="131"/>
      <c r="L29" s="131"/>
      <c r="M29" s="131"/>
      <c r="N29" s="131"/>
    </row>
    <row r="30" spans="2:14" x14ac:dyDescent="0.25">
      <c r="B30" s="845" t="str">
        <f>'III. Datos Entrada-BE'!B89</f>
        <v>noviembre</v>
      </c>
      <c r="C30" s="847"/>
      <c r="D30" s="849">
        <f t="shared" si="0"/>
        <v>0.85</v>
      </c>
      <c r="E30" s="186"/>
      <c r="K30" s="131"/>
      <c r="L30" s="131"/>
      <c r="M30" s="131"/>
      <c r="N30" s="131"/>
    </row>
    <row r="31" spans="2:14" ht="13" thickBot="1" x14ac:dyDescent="0.3">
      <c r="B31" s="846" t="str">
        <f>'III. Datos Entrada-BE'!B90</f>
        <v>diciembre</v>
      </c>
      <c r="C31" s="850"/>
      <c r="D31" s="851">
        <f t="shared" si="0"/>
        <v>0.85</v>
      </c>
      <c r="E31" s="186"/>
      <c r="K31" s="131"/>
      <c r="L31" s="131"/>
      <c r="M31" s="131"/>
      <c r="N31" s="131"/>
    </row>
    <row r="32" spans="2:14" ht="13.5" thickBot="1" x14ac:dyDescent="0.35">
      <c r="B32" s="9"/>
      <c r="C32" s="186"/>
      <c r="D32" s="186"/>
      <c r="E32" s="186"/>
      <c r="F32" s="186"/>
      <c r="G32" s="186"/>
      <c r="H32" s="186"/>
      <c r="I32" s="186"/>
      <c r="J32" s="131"/>
      <c r="K32" s="131"/>
      <c r="L32" s="131"/>
      <c r="M32" s="131"/>
      <c r="N32" s="131"/>
    </row>
    <row r="33" spans="2:14" ht="86" customHeight="1" x14ac:dyDescent="0.25">
      <c r="B33" s="1163" t="s">
        <v>106</v>
      </c>
      <c r="C33" s="1164"/>
      <c r="D33" s="1164"/>
      <c r="E33" s="1164"/>
      <c r="F33" s="1164"/>
      <c r="G33" s="1165"/>
      <c r="H33" s="349"/>
      <c r="I33" s="349"/>
      <c r="J33" s="349"/>
      <c r="K33" s="131"/>
      <c r="L33" s="131"/>
      <c r="M33" s="131"/>
      <c r="N33" s="131"/>
    </row>
    <row r="34" spans="2:14" ht="78" customHeight="1" thickBot="1" x14ac:dyDescent="0.3">
      <c r="B34" s="1169" t="s">
        <v>813</v>
      </c>
      <c r="C34" s="1170"/>
      <c r="D34" s="1170"/>
      <c r="E34" s="1170"/>
      <c r="F34" s="1170"/>
      <c r="G34" s="1171"/>
      <c r="H34" s="349"/>
      <c r="I34" s="349"/>
      <c r="J34" s="349"/>
      <c r="K34" s="131"/>
      <c r="L34" s="131"/>
      <c r="M34" s="131"/>
      <c r="N34" s="131"/>
    </row>
    <row r="35" spans="2:14" ht="13" x14ac:dyDescent="0.3">
      <c r="B35" s="9"/>
      <c r="C35" s="186"/>
      <c r="D35" s="186"/>
      <c r="E35" s="186"/>
      <c r="F35" s="186"/>
      <c r="G35" s="186"/>
      <c r="H35" s="186"/>
      <c r="I35" s="186"/>
      <c r="J35" s="131"/>
      <c r="K35" s="131"/>
      <c r="L35" s="131"/>
      <c r="M35" s="131"/>
      <c r="N35" s="131"/>
    </row>
    <row r="36" spans="2:14" ht="13.5" thickBot="1" x14ac:dyDescent="0.35">
      <c r="B36" s="9"/>
      <c r="C36" s="186"/>
      <c r="D36" s="186"/>
      <c r="J36" s="186"/>
      <c r="K36" s="186"/>
      <c r="L36" s="555" t="s">
        <v>107</v>
      </c>
      <c r="M36" s="333"/>
      <c r="N36" s="556"/>
    </row>
    <row r="37" spans="2:14" s="20" customFormat="1" ht="51" customHeight="1" x14ac:dyDescent="0.25">
      <c r="B37" s="157" t="s">
        <v>442</v>
      </c>
      <c r="C37" s="348" t="s">
        <v>816</v>
      </c>
      <c r="D37" s="348" t="s">
        <v>818</v>
      </c>
      <c r="E37" s="348" t="s">
        <v>817</v>
      </c>
      <c r="F37" s="348" t="s">
        <v>819</v>
      </c>
      <c r="G37" s="348" t="s">
        <v>820</v>
      </c>
      <c r="H37" s="348" t="s">
        <v>821</v>
      </c>
      <c r="I37" s="348" t="s">
        <v>822</v>
      </c>
      <c r="J37" s="348" t="s">
        <v>823</v>
      </c>
      <c r="K37" s="186"/>
      <c r="L37" s="347" t="s">
        <v>108</v>
      </c>
      <c r="M37" s="340"/>
      <c r="N37" s="341"/>
    </row>
    <row r="38" spans="2:14" ht="13" customHeight="1" x14ac:dyDescent="0.25">
      <c r="B38" s="529" t="str">
        <f>'III. Datos Entrada-BE'!B79</f>
        <v>enero</v>
      </c>
      <c r="C38" s="654" t="s">
        <v>1017</v>
      </c>
      <c r="D38" s="655">
        <f>IF(C38&gt;0,VLOOKUP(C38,'XIV. Tablas de referencia'!B223:C231,2, FALSE),0)</f>
        <v>0.96099999999999997</v>
      </c>
      <c r="E38" s="654" t="s">
        <v>1018</v>
      </c>
      <c r="F38" s="655">
        <f>IF(E38&gt;0,VLOOKUP(E38,'XIV. Tablas de referencia'!$B$224:$C$231,2, FALSE),0)</f>
        <v>0.93600000000000005</v>
      </c>
      <c r="G38" s="654"/>
      <c r="H38" s="655">
        <f>IF(G38&gt;0,VLOOKUP(G38,'XIV. Tablas de referencia'!$B$224:$C$231,2, FALSE),0)</f>
        <v>0</v>
      </c>
      <c r="I38" s="654"/>
      <c r="J38" s="656">
        <f>IF(I38&gt;0,VLOOKUP(I38,'XIV. Tablas de referencia'!$B$224:$C$231,2, FALSE),0)</f>
        <v>0</v>
      </c>
      <c r="K38" s="186"/>
      <c r="L38" s="345" t="s">
        <v>109</v>
      </c>
      <c r="M38" s="339"/>
      <c r="N38" s="342"/>
    </row>
    <row r="39" spans="2:14" x14ac:dyDescent="0.25">
      <c r="B39" s="529" t="str">
        <f>'III. Datos Entrada-BE'!B80</f>
        <v>febrero</v>
      </c>
      <c r="C39" s="654" t="s">
        <v>1017</v>
      </c>
      <c r="D39" s="655">
        <f>IF(C39&gt;0,VLOOKUP(C39,'XIV. Tablas de referencia'!$B$224:$C$231,2, FALSE),0)</f>
        <v>0.96099999999999997</v>
      </c>
      <c r="E39" s="654"/>
      <c r="F39" s="655">
        <f>IF(E39&gt;0,VLOOKUP(E39,'XIV. Tablas de referencia'!$B$224:$C$231,2, FALSE),0)</f>
        <v>0</v>
      </c>
      <c r="G39" s="654"/>
      <c r="H39" s="655">
        <f>IF(G39&gt;0,VLOOKUP(G39,'XIV. Tablas de referencia'!$B$224:$C$231,2, FALSE),0)</f>
        <v>0</v>
      </c>
      <c r="I39" s="654"/>
      <c r="J39" s="656">
        <f>IF(I39&gt;0,VLOOKUP(I39,'XIV. Tablas de referencia'!$B$224:$C$231,2, FALSE),0)</f>
        <v>0</v>
      </c>
      <c r="K39" s="186"/>
      <c r="L39" s="345" t="s">
        <v>110</v>
      </c>
      <c r="M39" s="339"/>
      <c r="N39" s="342"/>
    </row>
    <row r="40" spans="2:14" x14ac:dyDescent="0.25">
      <c r="B40" s="529" t="str">
        <f>'III. Datos Entrada-BE'!B81</f>
        <v>marzo</v>
      </c>
      <c r="C40" s="654" t="s">
        <v>1017</v>
      </c>
      <c r="D40" s="655">
        <f>IF(C40&gt;0,VLOOKUP(C40,'XIV. Tablas de referencia'!$B$224:$C$231,2, FALSE),0)</f>
        <v>0.96099999999999997</v>
      </c>
      <c r="E40" s="654"/>
      <c r="F40" s="655">
        <f>IF(E40&gt;0,VLOOKUP(E40,'XIV. Tablas de referencia'!$B$224:$C$231,2, FALSE),0)</f>
        <v>0</v>
      </c>
      <c r="G40" s="654"/>
      <c r="H40" s="655">
        <f>IF(G40&gt;0,VLOOKUP(G40,'XIV. Tablas de referencia'!$B$224:$C$231,2, FALSE),0)</f>
        <v>0</v>
      </c>
      <c r="I40" s="654"/>
      <c r="J40" s="656">
        <f>IF(I40&gt;0,VLOOKUP(I40,'XIV. Tablas de referencia'!$B$224:$C$231,2, FALSE),0)</f>
        <v>0</v>
      </c>
      <c r="K40" s="186"/>
      <c r="L40" s="345" t="s">
        <v>111</v>
      </c>
      <c r="M40" s="339"/>
      <c r="N40" s="342"/>
    </row>
    <row r="41" spans="2:14" x14ac:dyDescent="0.25">
      <c r="B41" s="529" t="str">
        <f>'III. Datos Entrada-BE'!B82</f>
        <v>abril</v>
      </c>
      <c r="C41" s="654"/>
      <c r="D41" s="655">
        <f>IF(C41&gt;0,VLOOKUP(C41,'XIV. Tablas de referencia'!$B$224:$C$231,2, FALSE),0)</f>
        <v>0</v>
      </c>
      <c r="E41" s="654"/>
      <c r="F41" s="655">
        <f>IF(E41&gt;0,VLOOKUP(E41,'XIV. Tablas de referencia'!$B$224:$C$231,2, FALSE),0)</f>
        <v>0</v>
      </c>
      <c r="G41" s="654"/>
      <c r="H41" s="655">
        <f>IF(G41&gt;0,VLOOKUP(G41,'XIV. Tablas de referencia'!$B$224:$C$231,2, FALSE),0)</f>
        <v>0</v>
      </c>
      <c r="I41" s="654"/>
      <c r="J41" s="656">
        <f>IF(I41&gt;0,VLOOKUP(I41,'XIV. Tablas de referencia'!$B$224:$C$231,2, FALSE),0)</f>
        <v>0</v>
      </c>
      <c r="K41" s="186"/>
      <c r="L41" s="345" t="s">
        <v>112</v>
      </c>
      <c r="M41" s="339"/>
      <c r="N41" s="342"/>
    </row>
    <row r="42" spans="2:14" x14ac:dyDescent="0.25">
      <c r="B42" s="529" t="str">
        <f>'III. Datos Entrada-BE'!B83</f>
        <v>mayo</v>
      </c>
      <c r="C42" s="654"/>
      <c r="D42" s="655">
        <f>IF(C42&gt;0,VLOOKUP(C42,'XIV. Tablas de referencia'!$B$224:$C$231,2, FALSE),0)</f>
        <v>0</v>
      </c>
      <c r="E42" s="654"/>
      <c r="F42" s="655">
        <f>IF(E42&gt;0,VLOOKUP(E42,'XIV. Tablas de referencia'!$B$224:$C$231,2, FALSE),0)</f>
        <v>0</v>
      </c>
      <c r="G42" s="654"/>
      <c r="H42" s="655">
        <f>IF(G42&gt;0,VLOOKUP(G42,'XIV. Tablas de referencia'!$B$224:$C$231,2, FALSE),0)</f>
        <v>0</v>
      </c>
      <c r="I42" s="654"/>
      <c r="J42" s="656">
        <f>IF(I42&gt;0,VLOOKUP(I42,'XIV. Tablas de referencia'!$B$224:$C$231,2, FALSE),0)</f>
        <v>0</v>
      </c>
      <c r="K42" s="186"/>
      <c r="L42" s="345" t="s">
        <v>113</v>
      </c>
      <c r="M42" s="339"/>
      <c r="N42" s="342"/>
    </row>
    <row r="43" spans="2:14" x14ac:dyDescent="0.25">
      <c r="B43" s="529" t="str">
        <f>'III. Datos Entrada-BE'!B84</f>
        <v>junio</v>
      </c>
      <c r="C43" s="654"/>
      <c r="D43" s="655">
        <f>IF(C43&gt;0,VLOOKUP(C43,'XIV. Tablas de referencia'!$B$224:$C$231,2, FALSE),0)</f>
        <v>0</v>
      </c>
      <c r="E43" s="654"/>
      <c r="F43" s="655">
        <f>IF(E43&gt;0,VLOOKUP(E43,'XIV. Tablas de referencia'!$B$224:$C$231,2, FALSE),0)</f>
        <v>0</v>
      </c>
      <c r="G43" s="654"/>
      <c r="H43" s="655">
        <f>IF(G43&gt;0,VLOOKUP(G43,'XIV. Tablas de referencia'!$B$224:$C$231,2, FALSE),0)</f>
        <v>0</v>
      </c>
      <c r="I43" s="654"/>
      <c r="J43" s="656">
        <f>IF(I43&gt;0,VLOOKUP(I43,'XIV. Tablas de referencia'!$B$224:$C$231,2, FALSE),0)</f>
        <v>0</v>
      </c>
      <c r="K43" s="186"/>
      <c r="L43" s="345" t="s">
        <v>114</v>
      </c>
      <c r="M43" s="339"/>
      <c r="N43" s="342"/>
    </row>
    <row r="44" spans="2:14" x14ac:dyDescent="0.25">
      <c r="B44" s="529" t="str">
        <f>'III. Datos Entrada-BE'!B85</f>
        <v>julio</v>
      </c>
      <c r="C44" s="654"/>
      <c r="D44" s="655">
        <f>IF(C44&gt;0,VLOOKUP(C44,'XIV. Tablas de referencia'!$B$224:$C$231,2, FALSE),0)</f>
        <v>0</v>
      </c>
      <c r="E44" s="654"/>
      <c r="F44" s="655">
        <f>IF(E44&gt;0,VLOOKUP(E44,'XIV. Tablas de referencia'!$B$224:$C$231,2, FALSE),0)</f>
        <v>0</v>
      </c>
      <c r="G44" s="654"/>
      <c r="H44" s="655">
        <f>IF(G44&gt;0,VLOOKUP(G44,'XIV. Tablas de referencia'!$B$224:$C$231,2, FALSE),0)</f>
        <v>0</v>
      </c>
      <c r="I44" s="654"/>
      <c r="J44" s="656">
        <f>IF(I44&gt;0,VLOOKUP(I44,'XIV. Tablas de referencia'!$B$224:$C$231,2, FALSE),0)</f>
        <v>0</v>
      </c>
      <c r="K44" s="186"/>
      <c r="L44" s="346" t="s">
        <v>115</v>
      </c>
      <c r="M44" s="343"/>
      <c r="N44" s="344"/>
    </row>
    <row r="45" spans="2:14" x14ac:dyDescent="0.25">
      <c r="B45" s="529" t="str">
        <f>'III. Datos Entrada-BE'!B86</f>
        <v>agosto</v>
      </c>
      <c r="C45" s="654"/>
      <c r="D45" s="655">
        <f>IF(C45&gt;0,VLOOKUP(C45,'XIV. Tablas de referencia'!$B$224:$C$231,2, FALSE),0)</f>
        <v>0</v>
      </c>
      <c r="E45" s="654"/>
      <c r="F45" s="655">
        <f>IF(E45&gt;0,VLOOKUP(E45,'XIV. Tablas de referencia'!$B$224:$C$231,2, FALSE),0)</f>
        <v>0</v>
      </c>
      <c r="G45" s="654"/>
      <c r="H45" s="655">
        <f>IF(G45&gt;0,VLOOKUP(G45,'XIV. Tablas de referencia'!$B$224:$C$231,2, FALSE),0)</f>
        <v>0</v>
      </c>
      <c r="I45" s="654"/>
      <c r="J45" s="656">
        <f>IF(I45&gt;0,VLOOKUP(I45,'XIV. Tablas de referencia'!$B$224:$C$231,2, FALSE),0)</f>
        <v>0</v>
      </c>
      <c r="K45" s="186"/>
      <c r="L45" s="186"/>
      <c r="M45" s="186"/>
      <c r="N45" s="186"/>
    </row>
    <row r="46" spans="2:14" x14ac:dyDescent="0.25">
      <c r="B46" s="529" t="str">
        <f>'III. Datos Entrada-BE'!B87</f>
        <v>septiembre</v>
      </c>
      <c r="C46" s="654"/>
      <c r="D46" s="655">
        <f>IF(C46&gt;0,VLOOKUP(C46,'XIV. Tablas de referencia'!$B$224:$C$231,2, FALSE),0)</f>
        <v>0</v>
      </c>
      <c r="E46" s="654"/>
      <c r="F46" s="655">
        <f>IF(E46&gt;0,VLOOKUP(E46,'XIV. Tablas de referencia'!$B$224:$C$231,2, FALSE),0)</f>
        <v>0</v>
      </c>
      <c r="G46" s="654"/>
      <c r="H46" s="655">
        <f>IF(G46&gt;0,VLOOKUP(G46,'XIV. Tablas de referencia'!$B$224:$C$231,2, FALSE),0)</f>
        <v>0</v>
      </c>
      <c r="I46" s="654"/>
      <c r="J46" s="656">
        <f>IF(I46&gt;0,VLOOKUP(I46,'XIV. Tablas de referencia'!$B$224:$C$231,2, FALSE),0)</f>
        <v>0</v>
      </c>
      <c r="K46" s="186"/>
      <c r="L46" s="186"/>
      <c r="M46" s="186"/>
      <c r="N46" s="186"/>
    </row>
    <row r="47" spans="2:14" x14ac:dyDescent="0.25">
      <c r="B47" s="529" t="str">
        <f>'III. Datos Entrada-BE'!B88</f>
        <v>octubre</v>
      </c>
      <c r="C47" s="654"/>
      <c r="D47" s="655">
        <f>IF(C47&gt;0,VLOOKUP(C47,'XIV. Tablas de referencia'!$B$224:$C$231,2, FALSE),0)</f>
        <v>0</v>
      </c>
      <c r="E47" s="654"/>
      <c r="F47" s="655">
        <f>IF(E47&gt;0,VLOOKUP(E47,'XIV. Tablas de referencia'!$B$224:$C$231,2, FALSE),0)</f>
        <v>0</v>
      </c>
      <c r="G47" s="654"/>
      <c r="H47" s="655">
        <f>IF(G47&gt;0,VLOOKUP(G47,'XIV. Tablas de referencia'!$B$224:$C$231,2, FALSE),0)</f>
        <v>0</v>
      </c>
      <c r="I47" s="654"/>
      <c r="J47" s="656">
        <f>IF(I47&gt;0,VLOOKUP(I47,'XIV. Tablas de referencia'!$B$224:$C$231,2, FALSE),0)</f>
        <v>0</v>
      </c>
      <c r="K47" s="186"/>
      <c r="L47" s="186"/>
      <c r="M47" s="186"/>
      <c r="N47" s="186"/>
    </row>
    <row r="48" spans="2:14" x14ac:dyDescent="0.25">
      <c r="B48" s="529" t="str">
        <f>'III. Datos Entrada-BE'!B89</f>
        <v>noviembre</v>
      </c>
      <c r="C48" s="654"/>
      <c r="D48" s="655">
        <f>IF(C48&gt;0,VLOOKUP(C48,'XIV. Tablas de referencia'!$B$224:$C$231,2, FALSE),0)</f>
        <v>0</v>
      </c>
      <c r="E48" s="654"/>
      <c r="F48" s="655">
        <f>IF(E48&gt;0,VLOOKUP(E48,'XIV. Tablas de referencia'!$B$224:$C$231,2, FALSE),0)</f>
        <v>0</v>
      </c>
      <c r="G48" s="654"/>
      <c r="H48" s="655">
        <f>IF(G48&gt;0,VLOOKUP(G48,'XIV. Tablas de referencia'!$B$224:$C$231,2, FALSE),0)</f>
        <v>0</v>
      </c>
      <c r="I48" s="654"/>
      <c r="J48" s="656">
        <f>IF(I48&gt;0,VLOOKUP(I48,'XIV. Tablas de referencia'!$B$224:$C$231,2, FALSE),0)</f>
        <v>0</v>
      </c>
      <c r="K48" s="186"/>
      <c r="L48" s="186"/>
      <c r="M48" s="186"/>
      <c r="N48" s="186"/>
    </row>
    <row r="49" spans="2:16" ht="13" thickBot="1" x14ac:dyDescent="0.3">
      <c r="B49" s="529" t="str">
        <f>'III. Datos Entrada-BE'!B90</f>
        <v>diciembre</v>
      </c>
      <c r="C49" s="654"/>
      <c r="D49" s="557">
        <f>IF(C49&gt;0,VLOOKUP(C49,'XIV. Tablas de referencia'!$B$224:$C$231,2, FALSE),0)</f>
        <v>0</v>
      </c>
      <c r="E49" s="654"/>
      <c r="F49" s="557">
        <f>IF(E49&gt;0,VLOOKUP(E49,'XIV. Tablas de referencia'!$B$224:$C$231,2, FALSE),0)</f>
        <v>0</v>
      </c>
      <c r="G49" s="558"/>
      <c r="H49" s="557">
        <f>IF(G49&gt;0,VLOOKUP(G49,'XIV. Tablas de referencia'!$B$224:$C$231,2, FALSE),0)</f>
        <v>0</v>
      </c>
      <c r="I49" s="558"/>
      <c r="J49" s="559">
        <f>IF(I49&gt;0,VLOOKUP(I49,'XIV. Tablas de referencia'!$B$224:$C$231,2, FALSE),0)</f>
        <v>0</v>
      </c>
      <c r="K49" s="186"/>
      <c r="L49" s="186"/>
      <c r="M49" s="186"/>
      <c r="N49" s="186"/>
    </row>
    <row r="50" spans="2:16" ht="13" x14ac:dyDescent="0.3">
      <c r="B50" s="9"/>
      <c r="C50" s="186"/>
      <c r="D50" s="186"/>
      <c r="J50" s="186"/>
      <c r="K50" s="186"/>
      <c r="L50" s="186"/>
      <c r="M50" s="186"/>
      <c r="N50" s="186"/>
    </row>
    <row r="51" spans="2:16" ht="16" x14ac:dyDescent="0.4">
      <c r="B51" s="2" t="s">
        <v>116</v>
      </c>
      <c r="C51" s="186"/>
      <c r="D51" s="186"/>
      <c r="J51" s="186"/>
      <c r="K51" s="186"/>
      <c r="L51" s="186"/>
      <c r="M51" s="186"/>
      <c r="N51" s="186"/>
    </row>
    <row r="52" spans="2:16" ht="16" x14ac:dyDescent="0.4">
      <c r="B52" s="316" t="s">
        <v>832</v>
      </c>
      <c r="C52" s="186"/>
      <c r="D52" s="186"/>
      <c r="J52" s="186"/>
      <c r="K52" s="186"/>
      <c r="L52" s="186"/>
      <c r="M52" s="186"/>
      <c r="N52" s="186"/>
    </row>
    <row r="53" spans="2:16" ht="30" customHeight="1" x14ac:dyDescent="0.35">
      <c r="B53" s="1166" t="s">
        <v>117</v>
      </c>
      <c r="C53" s="1167"/>
      <c r="D53" s="1167"/>
      <c r="E53" s="1167"/>
      <c r="F53" s="1167"/>
      <c r="G53" s="1167"/>
      <c r="J53" s="186"/>
      <c r="K53" s="186"/>
      <c r="L53" s="186"/>
      <c r="M53" s="186"/>
      <c r="N53" s="186"/>
    </row>
    <row r="54" spans="2:16" ht="30" customHeight="1" x14ac:dyDescent="0.3">
      <c r="B54" s="1172" t="s">
        <v>833</v>
      </c>
      <c r="C54" s="1172"/>
      <c r="D54" s="1172"/>
      <c r="E54" s="1172"/>
      <c r="F54" s="1172"/>
      <c r="G54" s="1172"/>
      <c r="J54" s="186"/>
      <c r="K54" s="186"/>
      <c r="L54" s="186"/>
      <c r="M54" s="186"/>
      <c r="N54" s="186"/>
    </row>
    <row r="55" spans="2:16" ht="13.5" thickBot="1" x14ac:dyDescent="0.35">
      <c r="B55" s="9"/>
      <c r="C55" s="186"/>
      <c r="D55" s="186"/>
      <c r="J55" s="186"/>
      <c r="K55" s="186"/>
      <c r="L55" s="186"/>
      <c r="M55" s="186"/>
      <c r="N55" s="186"/>
    </row>
    <row r="56" spans="2:16" s="95" customFormat="1" ht="55" x14ac:dyDescent="0.35">
      <c r="B56" s="157" t="s">
        <v>442</v>
      </c>
      <c r="C56" s="348" t="s">
        <v>834</v>
      </c>
      <c r="D56" s="348" t="s">
        <v>835</v>
      </c>
      <c r="E56" s="348" t="s">
        <v>836</v>
      </c>
      <c r="F56" s="348" t="s">
        <v>837</v>
      </c>
      <c r="G56" s="323" t="s">
        <v>838</v>
      </c>
      <c r="H56" s="373" t="s">
        <v>118</v>
      </c>
      <c r="K56" s="186"/>
      <c r="L56" s="1108" t="s">
        <v>101</v>
      </c>
      <c r="M56" s="1109"/>
      <c r="N56" s="1109"/>
      <c r="O56" s="1109"/>
      <c r="P56" s="1110"/>
    </row>
    <row r="57" spans="2:16" x14ac:dyDescent="0.25">
      <c r="B57" s="529" t="str">
        <f>'III. Datos Entrada-BE'!B79</f>
        <v>enero</v>
      </c>
      <c r="C57" s="657"/>
      <c r="D57" s="657"/>
      <c r="E57" s="657"/>
      <c r="F57" s="657"/>
      <c r="G57" s="658"/>
      <c r="H57" s="659">
        <f t="shared" ref="H57:H68" si="1">IF(C57=0,0,(D38*D57+F38*E57+H38*F57+J38*G57)/C57)</f>
        <v>0</v>
      </c>
      <c r="K57" s="186"/>
      <c r="L57" s="1107"/>
      <c r="M57" s="1111"/>
      <c r="N57" s="1111"/>
      <c r="O57" s="1111"/>
      <c r="P57" s="1112"/>
    </row>
    <row r="58" spans="2:16" x14ac:dyDescent="0.25">
      <c r="B58" s="529" t="str">
        <f>'III. Datos Entrada-BE'!B80</f>
        <v>febrero</v>
      </c>
      <c r="C58" s="657"/>
      <c r="D58" s="657"/>
      <c r="E58" s="657"/>
      <c r="F58" s="657"/>
      <c r="G58" s="658"/>
      <c r="H58" s="659">
        <f t="shared" si="1"/>
        <v>0</v>
      </c>
      <c r="K58" s="186"/>
      <c r="L58" s="1107"/>
      <c r="M58" s="1111"/>
      <c r="N58" s="1111"/>
      <c r="O58" s="1111"/>
      <c r="P58" s="1112"/>
    </row>
    <row r="59" spans="2:16" x14ac:dyDescent="0.25">
      <c r="B59" s="529" t="str">
        <f>'III. Datos Entrada-BE'!B81</f>
        <v>marzo</v>
      </c>
      <c r="C59" s="657"/>
      <c r="D59" s="657"/>
      <c r="E59" s="657"/>
      <c r="F59" s="657"/>
      <c r="G59" s="658"/>
      <c r="H59" s="659">
        <f t="shared" si="1"/>
        <v>0</v>
      </c>
      <c r="K59" s="186"/>
      <c r="L59" s="1107"/>
      <c r="M59" s="1111"/>
      <c r="N59" s="1111"/>
      <c r="O59" s="1111"/>
      <c r="P59" s="1112"/>
    </row>
    <row r="60" spans="2:16" x14ac:dyDescent="0.25">
      <c r="B60" s="529" t="str">
        <f>'III. Datos Entrada-BE'!B82</f>
        <v>abril</v>
      </c>
      <c r="C60" s="657"/>
      <c r="D60" s="657"/>
      <c r="E60" s="657"/>
      <c r="F60" s="657"/>
      <c r="G60" s="658"/>
      <c r="H60" s="659">
        <f t="shared" si="1"/>
        <v>0</v>
      </c>
      <c r="K60" s="186"/>
      <c r="L60" s="1107"/>
      <c r="M60" s="1111"/>
      <c r="N60" s="1111"/>
      <c r="O60" s="1111"/>
      <c r="P60" s="1112"/>
    </row>
    <row r="61" spans="2:16" x14ac:dyDescent="0.25">
      <c r="B61" s="529" t="str">
        <f>'III. Datos Entrada-BE'!B83</f>
        <v>mayo</v>
      </c>
      <c r="C61" s="657"/>
      <c r="D61" s="657"/>
      <c r="E61" s="657"/>
      <c r="F61" s="657"/>
      <c r="G61" s="658"/>
      <c r="H61" s="659">
        <f t="shared" si="1"/>
        <v>0</v>
      </c>
      <c r="K61" s="186"/>
      <c r="L61" s="1107"/>
      <c r="M61" s="1111"/>
      <c r="N61" s="1111"/>
      <c r="O61" s="1111"/>
      <c r="P61" s="1112"/>
    </row>
    <row r="62" spans="2:16" x14ac:dyDescent="0.25">
      <c r="B62" s="529" t="str">
        <f>'III. Datos Entrada-BE'!B84</f>
        <v>junio</v>
      </c>
      <c r="C62" s="657"/>
      <c r="D62" s="657"/>
      <c r="E62" s="657"/>
      <c r="F62" s="657"/>
      <c r="G62" s="658"/>
      <c r="H62" s="659">
        <f t="shared" si="1"/>
        <v>0</v>
      </c>
      <c r="K62" s="186"/>
      <c r="L62" s="1107"/>
      <c r="M62" s="1111"/>
      <c r="N62" s="1111"/>
      <c r="O62" s="1111"/>
      <c r="P62" s="1112"/>
    </row>
    <row r="63" spans="2:16" x14ac:dyDescent="0.25">
      <c r="B63" s="529" t="str">
        <f>'III. Datos Entrada-BE'!B85</f>
        <v>julio</v>
      </c>
      <c r="C63" s="657"/>
      <c r="D63" s="657"/>
      <c r="E63" s="657"/>
      <c r="F63" s="657"/>
      <c r="G63" s="658"/>
      <c r="H63" s="659">
        <f t="shared" si="1"/>
        <v>0</v>
      </c>
      <c r="K63" s="186"/>
      <c r="L63" s="1107"/>
      <c r="M63" s="1111"/>
      <c r="N63" s="1111"/>
      <c r="O63" s="1111"/>
      <c r="P63" s="1112"/>
    </row>
    <row r="64" spans="2:16" x14ac:dyDescent="0.25">
      <c r="B64" s="529" t="str">
        <f>'III. Datos Entrada-BE'!B86</f>
        <v>agosto</v>
      </c>
      <c r="C64" s="657"/>
      <c r="D64" s="657"/>
      <c r="E64" s="657"/>
      <c r="F64" s="657"/>
      <c r="G64" s="658"/>
      <c r="H64" s="659">
        <f t="shared" si="1"/>
        <v>0</v>
      </c>
      <c r="K64" s="186"/>
      <c r="L64" s="1107"/>
      <c r="M64" s="1111"/>
      <c r="N64" s="1111"/>
      <c r="O64" s="1111"/>
      <c r="P64" s="1112"/>
    </row>
    <row r="65" spans="2:16" x14ac:dyDescent="0.25">
      <c r="B65" s="529" t="str">
        <f>'III. Datos Entrada-BE'!B87</f>
        <v>septiembre</v>
      </c>
      <c r="C65" s="657"/>
      <c r="D65" s="657"/>
      <c r="E65" s="657"/>
      <c r="F65" s="657"/>
      <c r="G65" s="658"/>
      <c r="H65" s="659">
        <f t="shared" si="1"/>
        <v>0</v>
      </c>
      <c r="K65" s="186"/>
      <c r="L65" s="1107"/>
      <c r="M65" s="1111"/>
      <c r="N65" s="1111"/>
      <c r="O65" s="1111"/>
      <c r="P65" s="1112"/>
    </row>
    <row r="66" spans="2:16" x14ac:dyDescent="0.25">
      <c r="B66" s="529" t="str">
        <f>'III. Datos Entrada-BE'!B88</f>
        <v>octubre</v>
      </c>
      <c r="C66" s="657"/>
      <c r="D66" s="657"/>
      <c r="E66" s="657"/>
      <c r="F66" s="657"/>
      <c r="G66" s="658"/>
      <c r="H66" s="659">
        <f t="shared" si="1"/>
        <v>0</v>
      </c>
      <c r="K66" s="186"/>
      <c r="L66" s="1107"/>
      <c r="M66" s="1111"/>
      <c r="N66" s="1111"/>
      <c r="O66" s="1111"/>
      <c r="P66" s="1112"/>
    </row>
    <row r="67" spans="2:16" x14ac:dyDescent="0.25">
      <c r="B67" s="529" t="str">
        <f>'III. Datos Entrada-BE'!B89</f>
        <v>noviembre</v>
      </c>
      <c r="C67" s="657"/>
      <c r="D67" s="657"/>
      <c r="E67" s="657"/>
      <c r="F67" s="657"/>
      <c r="G67" s="658"/>
      <c r="H67" s="659">
        <f t="shared" si="1"/>
        <v>0</v>
      </c>
      <c r="K67" s="186"/>
      <c r="L67" s="1107"/>
      <c r="M67" s="1111"/>
      <c r="N67" s="1111"/>
      <c r="O67" s="1111"/>
      <c r="P67" s="1112"/>
    </row>
    <row r="68" spans="2:16" ht="13" thickBot="1" x14ac:dyDescent="0.3">
      <c r="B68" s="529" t="str">
        <f>'III. Datos Entrada-BE'!B90</f>
        <v>diciembre</v>
      </c>
      <c r="C68" s="657"/>
      <c r="D68" s="657"/>
      <c r="E68" s="560"/>
      <c r="F68" s="560"/>
      <c r="G68" s="561"/>
      <c r="H68" s="562">
        <f t="shared" si="1"/>
        <v>0</v>
      </c>
      <c r="K68" s="186"/>
      <c r="L68" s="1113"/>
      <c r="M68" s="1114"/>
      <c r="N68" s="1114"/>
      <c r="O68" s="1114"/>
      <c r="P68" s="1115"/>
    </row>
    <row r="69" spans="2:16" ht="13" x14ac:dyDescent="0.3">
      <c r="B69" s="9"/>
      <c r="C69" s="186"/>
      <c r="D69" s="186"/>
      <c r="E69" s="186"/>
      <c r="F69" s="186"/>
      <c r="G69" s="186"/>
      <c r="H69" s="186"/>
      <c r="I69" s="186"/>
      <c r="J69" s="131"/>
      <c r="K69" s="131"/>
      <c r="L69" s="131"/>
      <c r="M69" s="131"/>
      <c r="N69" s="131"/>
    </row>
    <row r="70" spans="2:16" ht="13" thickBot="1" x14ac:dyDescent="0.3">
      <c r="B70" s="186"/>
      <c r="C70" s="186"/>
      <c r="D70" s="186"/>
      <c r="E70" s="186"/>
      <c r="F70" s="186"/>
      <c r="G70" s="186"/>
      <c r="H70" s="186"/>
      <c r="I70" s="186"/>
      <c r="J70" s="131"/>
      <c r="K70" s="131"/>
      <c r="L70" s="131"/>
      <c r="M70" s="131"/>
      <c r="N70" s="131"/>
    </row>
    <row r="71" spans="2:16" ht="13" x14ac:dyDescent="0.25">
      <c r="B71" s="1183" t="s">
        <v>119</v>
      </c>
      <c r="C71" s="1184"/>
      <c r="D71" s="1184"/>
      <c r="E71" s="20"/>
      <c r="F71" s="1108" t="s">
        <v>839</v>
      </c>
      <c r="G71" s="1109"/>
      <c r="H71" s="1109"/>
      <c r="I71" s="1110"/>
      <c r="J71" s="135"/>
      <c r="K71" s="131"/>
      <c r="L71" s="131"/>
      <c r="M71" s="131"/>
      <c r="N71" s="131"/>
    </row>
    <row r="72" spans="2:16" ht="13" x14ac:dyDescent="0.25">
      <c r="B72" s="852" t="s">
        <v>840</v>
      </c>
      <c r="C72" s="843"/>
      <c r="D72" s="387"/>
      <c r="E72" s="20"/>
      <c r="F72" s="1107"/>
      <c r="G72" s="1111"/>
      <c r="H72" s="1111"/>
      <c r="I72" s="1112"/>
      <c r="J72" s="135"/>
      <c r="K72" s="131"/>
      <c r="L72" s="131"/>
      <c r="M72" s="131"/>
      <c r="N72" s="131"/>
    </row>
    <row r="73" spans="2:16" ht="26.5" customHeight="1" x14ac:dyDescent="0.25">
      <c r="B73" s="1148" t="s">
        <v>845</v>
      </c>
      <c r="C73" s="1148"/>
      <c r="D73" s="1148"/>
      <c r="E73" s="20"/>
      <c r="F73" s="1107"/>
      <c r="G73" s="1111"/>
      <c r="H73" s="1111"/>
      <c r="I73" s="1112"/>
      <c r="J73" s="135"/>
      <c r="K73" s="131"/>
      <c r="L73" s="131"/>
      <c r="M73" s="131"/>
      <c r="N73" s="131"/>
    </row>
    <row r="74" spans="2:16" ht="13" x14ac:dyDescent="0.3">
      <c r="B74" s="1135" t="s">
        <v>846</v>
      </c>
      <c r="C74" s="1135"/>
      <c r="D74" s="1135"/>
      <c r="E74" s="20"/>
      <c r="F74" s="1107"/>
      <c r="G74" s="1111"/>
      <c r="H74" s="1111"/>
      <c r="I74" s="1112"/>
      <c r="J74" s="135"/>
      <c r="K74" s="131"/>
      <c r="L74" s="131"/>
      <c r="M74" s="131"/>
      <c r="N74" s="131"/>
    </row>
    <row r="75" spans="2:16" ht="13" thickBot="1" x14ac:dyDescent="0.3">
      <c r="B75" s="20"/>
      <c r="C75" s="20"/>
      <c r="D75" s="20"/>
      <c r="E75" s="20"/>
      <c r="F75" s="1107"/>
      <c r="G75" s="1111"/>
      <c r="H75" s="1111"/>
      <c r="I75" s="1112"/>
      <c r="J75" s="135"/>
      <c r="K75" s="131"/>
      <c r="L75" s="131"/>
      <c r="M75" s="131"/>
      <c r="N75" s="131"/>
    </row>
    <row r="76" spans="2:16" ht="84.5" customHeight="1" thickBot="1" x14ac:dyDescent="0.3">
      <c r="B76" s="1185" t="s">
        <v>841</v>
      </c>
      <c r="C76" s="1186"/>
      <c r="D76" s="187"/>
      <c r="E76" s="20"/>
      <c r="F76" s="1107"/>
      <c r="G76" s="1111"/>
      <c r="H76" s="1111"/>
      <c r="I76" s="1112"/>
      <c r="J76" s="135"/>
      <c r="K76" s="131"/>
      <c r="L76" s="131"/>
      <c r="M76" s="131"/>
      <c r="N76" s="131"/>
    </row>
    <row r="77" spans="2:16" x14ac:dyDescent="0.25">
      <c r="B77" s="1187" t="s">
        <v>842</v>
      </c>
      <c r="C77" s="1188"/>
      <c r="D77" s="1189"/>
      <c r="E77" s="20"/>
      <c r="F77" s="1107"/>
      <c r="G77" s="1111"/>
      <c r="H77" s="1111"/>
      <c r="I77" s="1112"/>
      <c r="J77" s="135"/>
      <c r="K77" s="131"/>
      <c r="L77" s="131"/>
      <c r="M77" s="131"/>
      <c r="N77" s="131"/>
    </row>
    <row r="78" spans="2:16" ht="40.5" customHeight="1" thickBot="1" x14ac:dyDescent="0.3">
      <c r="B78" s="1190"/>
      <c r="C78" s="1191"/>
      <c r="D78" s="1192"/>
      <c r="E78" s="20"/>
      <c r="F78" s="1113"/>
      <c r="G78" s="1114"/>
      <c r="H78" s="1114"/>
      <c r="I78" s="1115"/>
      <c r="J78" s="135"/>
      <c r="K78" s="131"/>
      <c r="L78" s="131"/>
      <c r="M78" s="131"/>
      <c r="N78" s="131"/>
    </row>
    <row r="79" spans="2:16" x14ac:dyDescent="0.25">
      <c r="B79" s="20"/>
      <c r="C79" s="20"/>
      <c r="D79" s="20"/>
      <c r="E79" s="20"/>
      <c r="F79" s="133"/>
      <c r="G79" s="133"/>
      <c r="H79" s="133"/>
      <c r="I79" s="133"/>
      <c r="J79" s="135"/>
      <c r="K79" s="131"/>
      <c r="L79" s="131"/>
      <c r="M79" s="131"/>
      <c r="N79" s="131"/>
    </row>
    <row r="80" spans="2:16" ht="13" x14ac:dyDescent="0.25">
      <c r="B80" s="184" t="s">
        <v>120</v>
      </c>
      <c r="C80" s="184"/>
      <c r="D80" s="184"/>
      <c r="E80" s="184"/>
      <c r="F80" s="135"/>
      <c r="G80" s="135"/>
      <c r="I80" s="188"/>
      <c r="J80" s="188"/>
      <c r="K80" s="135"/>
      <c r="L80" s="135"/>
      <c r="M80" s="131"/>
      <c r="N80" s="131"/>
    </row>
    <row r="81" spans="1:16" ht="13" x14ac:dyDescent="0.25">
      <c r="B81" s="844" t="s">
        <v>843</v>
      </c>
      <c r="C81" s="844"/>
      <c r="D81" s="844"/>
      <c r="E81" s="184"/>
      <c r="F81" s="135"/>
      <c r="G81" s="135"/>
      <c r="I81" s="188"/>
      <c r="J81" s="188"/>
      <c r="K81" s="135"/>
      <c r="L81" s="135"/>
      <c r="M81" s="131"/>
      <c r="N81" s="131"/>
    </row>
    <row r="82" spans="1:16" ht="13" x14ac:dyDescent="0.3">
      <c r="B82" s="1119" t="s">
        <v>847</v>
      </c>
      <c r="C82" s="1119"/>
      <c r="D82" s="1119"/>
      <c r="E82" s="189"/>
      <c r="F82" s="135"/>
      <c r="G82" s="135"/>
      <c r="H82" s="131"/>
      <c r="I82" s="188"/>
      <c r="J82" s="188"/>
      <c r="K82" s="135"/>
      <c r="L82" s="135"/>
      <c r="M82" s="131"/>
      <c r="N82" s="131"/>
    </row>
    <row r="83" spans="1:16" ht="13" x14ac:dyDescent="0.25">
      <c r="B83" s="1147" t="s">
        <v>848</v>
      </c>
      <c r="C83" s="1147"/>
      <c r="D83" s="1147"/>
      <c r="E83" s="1147"/>
      <c r="F83" s="135"/>
      <c r="G83" s="135"/>
      <c r="H83" s="131"/>
      <c r="I83" s="188"/>
      <c r="J83" s="188"/>
      <c r="K83" s="135"/>
      <c r="L83" s="135"/>
      <c r="M83" s="131"/>
      <c r="N83" s="131"/>
    </row>
    <row r="84" spans="1:16" ht="13.5" thickBot="1" x14ac:dyDescent="0.3">
      <c r="B84" s="190"/>
      <c r="C84" s="186"/>
      <c r="D84" s="186"/>
      <c r="E84" s="186"/>
      <c r="F84" s="135"/>
      <c r="G84" s="135"/>
      <c r="H84" s="188"/>
      <c r="I84" s="188"/>
      <c r="J84" s="188"/>
      <c r="K84" s="135"/>
      <c r="L84" s="135"/>
      <c r="M84" s="131"/>
      <c r="N84" s="131"/>
    </row>
    <row r="85" spans="1:16" ht="102.5" customHeight="1" x14ac:dyDescent="0.25">
      <c r="B85" s="1208" t="s">
        <v>844</v>
      </c>
      <c r="C85" s="1209"/>
      <c r="D85" s="191" t="s">
        <v>74</v>
      </c>
      <c r="E85" s="186"/>
      <c r="F85" s="135"/>
      <c r="G85" s="135"/>
      <c r="H85" s="188"/>
      <c r="I85" s="188"/>
      <c r="J85" s="188"/>
      <c r="K85" s="135"/>
      <c r="L85" s="135"/>
      <c r="M85" s="131"/>
      <c r="N85" s="131"/>
    </row>
    <row r="86" spans="1:16" ht="86.5" customHeight="1" thickBot="1" x14ac:dyDescent="0.3">
      <c r="B86" s="1210" t="s">
        <v>945</v>
      </c>
      <c r="C86" s="1211"/>
      <c r="D86" s="1212"/>
      <c r="E86" s="186"/>
      <c r="F86" s="186"/>
      <c r="G86" s="186"/>
      <c r="H86" s="188"/>
      <c r="I86" s="188"/>
      <c r="J86" s="188"/>
      <c r="K86" s="135"/>
      <c r="L86" s="135"/>
      <c r="M86" s="135"/>
      <c r="N86" s="135"/>
    </row>
    <row r="87" spans="1:16" ht="13.5" thickBot="1" x14ac:dyDescent="0.3">
      <c r="B87" s="190"/>
      <c r="C87" s="186"/>
      <c r="D87" s="186"/>
      <c r="E87" s="186"/>
      <c r="F87" s="186"/>
      <c r="G87" s="186"/>
      <c r="H87" s="188"/>
      <c r="I87" s="188"/>
      <c r="J87" s="188"/>
      <c r="K87" s="135"/>
      <c r="L87" s="135"/>
      <c r="M87" s="135"/>
      <c r="N87" s="135"/>
    </row>
    <row r="88" spans="1:16" ht="28" x14ac:dyDescent="0.25">
      <c r="A88" s="192"/>
      <c r="B88" s="857" t="s">
        <v>442</v>
      </c>
      <c r="C88" s="858" t="s">
        <v>849</v>
      </c>
      <c r="D88" s="858" t="s">
        <v>850</v>
      </c>
      <c r="E88" s="858" t="s">
        <v>851</v>
      </c>
      <c r="F88" s="858" t="s">
        <v>121</v>
      </c>
      <c r="G88" s="859" t="s">
        <v>122</v>
      </c>
      <c r="I88" s="1173" t="s">
        <v>852</v>
      </c>
      <c r="J88" s="1174"/>
      <c r="K88" s="1174"/>
      <c r="L88" s="1175"/>
      <c r="M88" s="135"/>
      <c r="N88" s="135"/>
      <c r="O88" s="131"/>
      <c r="P88" s="131"/>
    </row>
    <row r="89" spans="1:16" x14ac:dyDescent="0.25">
      <c r="B89" s="845" t="str">
        <f>'III. Datos Entrada-BE'!B79</f>
        <v>enero</v>
      </c>
      <c r="C89" s="853"/>
      <c r="D89" s="854">
        <f>C89+273.15</f>
        <v>273.14999999999998</v>
      </c>
      <c r="E89" s="855"/>
      <c r="F89" s="856">
        <f t="shared" ref="F89:F100" si="2">C57</f>
        <v>0</v>
      </c>
      <c r="G89" s="860"/>
      <c r="I89" s="1176"/>
      <c r="J89" s="1111"/>
      <c r="K89" s="1111"/>
      <c r="L89" s="1177"/>
      <c r="M89" s="135"/>
      <c r="N89" s="135"/>
      <c r="O89" s="131"/>
      <c r="P89" s="131"/>
    </row>
    <row r="90" spans="1:16" x14ac:dyDescent="0.25">
      <c r="B90" s="845" t="str">
        <f>'III. Datos Entrada-BE'!B80</f>
        <v>febrero</v>
      </c>
      <c r="C90" s="853"/>
      <c r="D90" s="854">
        <f t="shared" ref="D90:D100" si="3">C90+273.15</f>
        <v>273.14999999999998</v>
      </c>
      <c r="E90" s="855"/>
      <c r="F90" s="856">
        <f t="shared" si="2"/>
        <v>0</v>
      </c>
      <c r="G90" s="860"/>
      <c r="I90" s="1176"/>
      <c r="J90" s="1111"/>
      <c r="K90" s="1111"/>
      <c r="L90" s="1177"/>
      <c r="M90" s="135"/>
      <c r="N90" s="135"/>
      <c r="O90" s="131"/>
      <c r="P90" s="131"/>
    </row>
    <row r="91" spans="1:16" x14ac:dyDescent="0.25">
      <c r="B91" s="845" t="str">
        <f>'III. Datos Entrada-BE'!B81</f>
        <v>marzo</v>
      </c>
      <c r="C91" s="853"/>
      <c r="D91" s="854">
        <f t="shared" si="3"/>
        <v>273.14999999999998</v>
      </c>
      <c r="E91" s="855"/>
      <c r="F91" s="856">
        <f t="shared" si="2"/>
        <v>0</v>
      </c>
      <c r="G91" s="860"/>
      <c r="I91" s="1176"/>
      <c r="J91" s="1111"/>
      <c r="K91" s="1111"/>
      <c r="L91" s="1177"/>
      <c r="M91" s="135"/>
      <c r="N91" s="135"/>
      <c r="O91" s="131"/>
      <c r="P91" s="131"/>
    </row>
    <row r="92" spans="1:16" x14ac:dyDescent="0.25">
      <c r="B92" s="845" t="str">
        <f>'III. Datos Entrada-BE'!B82</f>
        <v>abril</v>
      </c>
      <c r="C92" s="853"/>
      <c r="D92" s="854">
        <f t="shared" si="3"/>
        <v>273.14999999999998</v>
      </c>
      <c r="E92" s="855"/>
      <c r="F92" s="856">
        <f t="shared" si="2"/>
        <v>0</v>
      </c>
      <c r="G92" s="860"/>
      <c r="I92" s="1176"/>
      <c r="J92" s="1111"/>
      <c r="K92" s="1111"/>
      <c r="L92" s="1177"/>
      <c r="M92" s="135"/>
      <c r="N92" s="135"/>
      <c r="O92" s="131"/>
      <c r="P92" s="131"/>
    </row>
    <row r="93" spans="1:16" x14ac:dyDescent="0.25">
      <c r="B93" s="845" t="str">
        <f>'III. Datos Entrada-BE'!B83</f>
        <v>mayo</v>
      </c>
      <c r="C93" s="853"/>
      <c r="D93" s="854">
        <f t="shared" si="3"/>
        <v>273.14999999999998</v>
      </c>
      <c r="E93" s="855"/>
      <c r="F93" s="856">
        <f t="shared" si="2"/>
        <v>0</v>
      </c>
      <c r="G93" s="860"/>
      <c r="I93" s="1176"/>
      <c r="J93" s="1111"/>
      <c r="K93" s="1111"/>
      <c r="L93" s="1177"/>
      <c r="M93" s="135"/>
      <c r="N93" s="135"/>
      <c r="O93" s="131"/>
      <c r="P93" s="131"/>
    </row>
    <row r="94" spans="1:16" x14ac:dyDescent="0.25">
      <c r="B94" s="845" t="str">
        <f>'III. Datos Entrada-BE'!B84</f>
        <v>junio</v>
      </c>
      <c r="C94" s="853"/>
      <c r="D94" s="854">
        <f t="shared" si="3"/>
        <v>273.14999999999998</v>
      </c>
      <c r="E94" s="855"/>
      <c r="F94" s="856">
        <f t="shared" si="2"/>
        <v>0</v>
      </c>
      <c r="G94" s="860"/>
      <c r="I94" s="1176"/>
      <c r="J94" s="1111"/>
      <c r="K94" s="1111"/>
      <c r="L94" s="1177"/>
      <c r="M94" s="135"/>
      <c r="N94" s="135"/>
      <c r="O94" s="131"/>
      <c r="P94" s="131"/>
    </row>
    <row r="95" spans="1:16" x14ac:dyDescent="0.25">
      <c r="B95" s="845" t="str">
        <f>'III. Datos Entrada-BE'!B85</f>
        <v>julio</v>
      </c>
      <c r="C95" s="853"/>
      <c r="D95" s="854">
        <f t="shared" si="3"/>
        <v>273.14999999999998</v>
      </c>
      <c r="E95" s="855"/>
      <c r="F95" s="856">
        <f t="shared" si="2"/>
        <v>0</v>
      </c>
      <c r="G95" s="860"/>
      <c r="I95" s="1176"/>
      <c r="J95" s="1111"/>
      <c r="K95" s="1111"/>
      <c r="L95" s="1177"/>
      <c r="M95" s="135"/>
      <c r="N95" s="135"/>
      <c r="O95" s="131"/>
      <c r="P95" s="131"/>
    </row>
    <row r="96" spans="1:16" x14ac:dyDescent="0.25">
      <c r="B96" s="845" t="str">
        <f>'III. Datos Entrada-BE'!B86</f>
        <v>agosto</v>
      </c>
      <c r="C96" s="853"/>
      <c r="D96" s="854">
        <f t="shared" si="3"/>
        <v>273.14999999999998</v>
      </c>
      <c r="E96" s="855"/>
      <c r="F96" s="856">
        <f t="shared" si="2"/>
        <v>0</v>
      </c>
      <c r="G96" s="860"/>
      <c r="I96" s="1176"/>
      <c r="J96" s="1111"/>
      <c r="K96" s="1111"/>
      <c r="L96" s="1177"/>
      <c r="M96" s="135"/>
      <c r="N96" s="135"/>
      <c r="O96" s="131"/>
      <c r="P96" s="131"/>
    </row>
    <row r="97" spans="2:16" x14ac:dyDescent="0.25">
      <c r="B97" s="845" t="str">
        <f>'III. Datos Entrada-BE'!B87</f>
        <v>septiembre</v>
      </c>
      <c r="C97" s="853"/>
      <c r="D97" s="854">
        <f t="shared" si="3"/>
        <v>273.14999999999998</v>
      </c>
      <c r="E97" s="855"/>
      <c r="F97" s="856">
        <f t="shared" si="2"/>
        <v>0</v>
      </c>
      <c r="G97" s="860"/>
      <c r="I97" s="1176"/>
      <c r="J97" s="1111"/>
      <c r="K97" s="1111"/>
      <c r="L97" s="1177"/>
      <c r="M97" s="135"/>
      <c r="N97" s="135"/>
      <c r="O97" s="131"/>
      <c r="P97" s="131"/>
    </row>
    <row r="98" spans="2:16" x14ac:dyDescent="0.25">
      <c r="B98" s="845" t="str">
        <f>'III. Datos Entrada-BE'!B88</f>
        <v>octubre</v>
      </c>
      <c r="C98" s="853"/>
      <c r="D98" s="854">
        <f t="shared" si="3"/>
        <v>273.14999999999998</v>
      </c>
      <c r="E98" s="855"/>
      <c r="F98" s="856">
        <f t="shared" si="2"/>
        <v>0</v>
      </c>
      <c r="G98" s="860"/>
      <c r="I98" s="1176"/>
      <c r="J98" s="1111"/>
      <c r="K98" s="1111"/>
      <c r="L98" s="1177"/>
      <c r="M98" s="135"/>
      <c r="N98" s="135"/>
      <c r="O98" s="131"/>
      <c r="P98" s="131"/>
    </row>
    <row r="99" spans="2:16" x14ac:dyDescent="0.25">
      <c r="B99" s="845" t="str">
        <f>'III. Datos Entrada-BE'!B89</f>
        <v>noviembre</v>
      </c>
      <c r="C99" s="853"/>
      <c r="D99" s="854">
        <f t="shared" si="3"/>
        <v>273.14999999999998</v>
      </c>
      <c r="E99" s="855"/>
      <c r="F99" s="856">
        <f t="shared" si="2"/>
        <v>0</v>
      </c>
      <c r="G99" s="860"/>
      <c r="I99" s="1176"/>
      <c r="J99" s="1111"/>
      <c r="K99" s="1111"/>
      <c r="L99" s="1177"/>
      <c r="M99" s="135"/>
      <c r="N99" s="135"/>
      <c r="O99" s="131"/>
      <c r="P99" s="131"/>
    </row>
    <row r="100" spans="2:16" ht="13" thickBot="1" x14ac:dyDescent="0.3">
      <c r="B100" s="846" t="str">
        <f>'III. Datos Entrada-BE'!B90</f>
        <v>diciembre</v>
      </c>
      <c r="C100" s="861"/>
      <c r="D100" s="862">
        <f t="shared" si="3"/>
        <v>273.14999999999998</v>
      </c>
      <c r="E100" s="863"/>
      <c r="F100" s="864">
        <f t="shared" si="2"/>
        <v>0</v>
      </c>
      <c r="G100" s="865"/>
      <c r="I100" s="1178"/>
      <c r="J100" s="1179"/>
      <c r="K100" s="1179"/>
      <c r="L100" s="1180"/>
      <c r="M100" s="135"/>
      <c r="N100" s="135"/>
      <c r="O100" s="131"/>
      <c r="P100" s="131"/>
    </row>
    <row r="101" spans="2:16" ht="15.5" x14ac:dyDescent="0.35">
      <c r="B101" s="2" t="s">
        <v>123</v>
      </c>
      <c r="E101" s="9"/>
      <c r="F101" s="9"/>
      <c r="G101" s="3"/>
      <c r="L101" s="135"/>
      <c r="M101" s="135"/>
      <c r="N101" s="135"/>
      <c r="O101" s="131"/>
      <c r="P101" s="131"/>
    </row>
    <row r="102" spans="2:16" ht="67.5" customHeight="1" x14ac:dyDescent="0.3">
      <c r="B102" s="1096" t="s">
        <v>853</v>
      </c>
      <c r="C102" s="1096"/>
      <c r="D102" s="1096"/>
      <c r="E102" s="1096"/>
      <c r="F102" s="1096"/>
      <c r="G102" s="1096"/>
      <c r="L102" s="135"/>
      <c r="M102" s="135"/>
      <c r="N102" s="135"/>
      <c r="O102" s="131"/>
      <c r="P102" s="131"/>
    </row>
    <row r="103" spans="2:16" x14ac:dyDescent="0.25">
      <c r="L103" s="135"/>
      <c r="M103" s="135"/>
      <c r="N103" s="135"/>
      <c r="O103" s="131"/>
      <c r="P103" s="131"/>
    </row>
    <row r="104" spans="2:16" ht="13" x14ac:dyDescent="0.25">
      <c r="B104" s="184" t="s">
        <v>124</v>
      </c>
      <c r="C104" s="184"/>
      <c r="D104" s="184"/>
      <c r="E104" s="184"/>
      <c r="J104" s="135"/>
      <c r="K104" s="135"/>
      <c r="L104" s="135"/>
      <c r="M104" s="135"/>
      <c r="N104" s="135"/>
      <c r="O104" s="131"/>
      <c r="P104" s="131"/>
    </row>
    <row r="105" spans="2:16" ht="13" x14ac:dyDescent="0.25">
      <c r="B105" s="844" t="s">
        <v>854</v>
      </c>
      <c r="C105" s="844"/>
      <c r="D105" s="184"/>
      <c r="E105" s="184"/>
      <c r="J105" s="135"/>
      <c r="K105" s="135"/>
      <c r="L105" s="135"/>
      <c r="M105" s="135"/>
      <c r="N105" s="135"/>
      <c r="O105" s="131"/>
      <c r="P105" s="131"/>
    </row>
    <row r="106" spans="2:16" ht="27" customHeight="1" x14ac:dyDescent="0.3">
      <c r="B106" s="1213" t="s">
        <v>125</v>
      </c>
      <c r="C106" s="1213"/>
      <c r="D106" s="1213"/>
      <c r="E106" s="189"/>
      <c r="J106" s="135"/>
      <c r="K106" s="135"/>
      <c r="L106" s="135"/>
      <c r="M106" s="135"/>
      <c r="N106" s="135"/>
      <c r="O106" s="131"/>
      <c r="P106" s="131"/>
    </row>
    <row r="107" spans="2:16" ht="27" customHeight="1" x14ac:dyDescent="0.3">
      <c r="B107" s="1181" t="s">
        <v>855</v>
      </c>
      <c r="C107" s="1181"/>
      <c r="D107" s="1181"/>
      <c r="E107" s="189"/>
      <c r="J107" s="135"/>
      <c r="K107" s="135"/>
      <c r="L107" s="135"/>
      <c r="M107" s="135"/>
      <c r="N107" s="135"/>
      <c r="O107" s="131"/>
      <c r="P107" s="131"/>
    </row>
    <row r="108" spans="2:16" ht="47.15" customHeight="1" x14ac:dyDescent="0.25">
      <c r="B108" s="1206" t="s">
        <v>126</v>
      </c>
      <c r="C108" s="1119"/>
      <c r="D108" s="1207"/>
      <c r="L108" s="135"/>
      <c r="M108" s="135"/>
      <c r="N108" s="135"/>
    </row>
    <row r="109" spans="2:16" ht="47" customHeight="1" thickBot="1" x14ac:dyDescent="0.3">
      <c r="B109" s="1182" t="s">
        <v>856</v>
      </c>
      <c r="C109" s="1182"/>
      <c r="D109" s="1182"/>
      <c r="L109" s="135"/>
      <c r="M109" s="135"/>
      <c r="N109" s="135"/>
    </row>
    <row r="110" spans="2:16" ht="26.5" thickBot="1" x14ac:dyDescent="0.3">
      <c r="B110" s="243" t="s">
        <v>442</v>
      </c>
      <c r="C110" s="493" t="s">
        <v>127</v>
      </c>
      <c r="E110" s="1108" t="s">
        <v>852</v>
      </c>
      <c r="F110" s="1110"/>
      <c r="G110" s="194"/>
      <c r="H110" s="194"/>
      <c r="I110" s="195"/>
      <c r="J110" s="195"/>
      <c r="L110" s="135"/>
      <c r="M110" s="135"/>
      <c r="N110" s="135"/>
    </row>
    <row r="111" spans="2:16" x14ac:dyDescent="0.25">
      <c r="B111" s="437" t="str">
        <f>'III. Datos Entrada-BE'!B79</f>
        <v>enero</v>
      </c>
      <c r="C111" s="492"/>
      <c r="D111" s="20"/>
      <c r="E111" s="1107"/>
      <c r="F111" s="1112"/>
      <c r="G111" s="194"/>
      <c r="H111" s="194"/>
      <c r="I111" s="195"/>
      <c r="J111" s="195"/>
      <c r="L111" s="135"/>
      <c r="M111" s="135"/>
      <c r="N111" s="135"/>
    </row>
    <row r="112" spans="2:16" x14ac:dyDescent="0.25">
      <c r="B112" s="437" t="str">
        <f>'III. Datos Entrada-BE'!B80</f>
        <v>febrero</v>
      </c>
      <c r="C112" s="563"/>
      <c r="D112" s="20"/>
      <c r="E112" s="1107"/>
      <c r="F112" s="1112"/>
      <c r="G112" s="194"/>
      <c r="H112" s="194"/>
      <c r="I112" s="195"/>
      <c r="J112" s="195"/>
      <c r="L112" s="135"/>
      <c r="M112" s="135"/>
      <c r="N112" s="135"/>
    </row>
    <row r="113" spans="2:16" x14ac:dyDescent="0.25">
      <c r="B113" s="437" t="str">
        <f>'III. Datos Entrada-BE'!B81</f>
        <v>marzo</v>
      </c>
      <c r="C113" s="563"/>
      <c r="D113" s="20"/>
      <c r="E113" s="1107"/>
      <c r="F113" s="1112"/>
      <c r="G113" s="194"/>
      <c r="H113" s="194"/>
      <c r="I113" s="195"/>
      <c r="J113" s="195"/>
      <c r="L113" s="135"/>
      <c r="M113" s="135"/>
      <c r="N113" s="135"/>
    </row>
    <row r="114" spans="2:16" x14ac:dyDescent="0.25">
      <c r="B114" s="437" t="str">
        <f>'III. Datos Entrada-BE'!B82</f>
        <v>abril</v>
      </c>
      <c r="C114" s="563"/>
      <c r="D114" s="20"/>
      <c r="E114" s="1107"/>
      <c r="F114" s="1112"/>
      <c r="G114" s="194"/>
      <c r="H114" s="194"/>
      <c r="I114" s="195"/>
      <c r="J114" s="195"/>
      <c r="L114" s="135"/>
      <c r="M114" s="135"/>
      <c r="N114" s="135"/>
    </row>
    <row r="115" spans="2:16" x14ac:dyDescent="0.25">
      <c r="B115" s="437" t="str">
        <f>'III. Datos Entrada-BE'!B83</f>
        <v>mayo</v>
      </c>
      <c r="C115" s="563"/>
      <c r="D115" s="20"/>
      <c r="E115" s="1107"/>
      <c r="F115" s="1112"/>
      <c r="G115" s="194"/>
      <c r="H115" s="194"/>
      <c r="I115" s="195"/>
      <c r="J115" s="195"/>
      <c r="L115" s="135"/>
      <c r="M115" s="135"/>
      <c r="N115" s="135"/>
    </row>
    <row r="116" spans="2:16" x14ac:dyDescent="0.25">
      <c r="B116" s="437" t="str">
        <f>'III. Datos Entrada-BE'!B84</f>
        <v>junio</v>
      </c>
      <c r="C116" s="563"/>
      <c r="D116" s="20"/>
      <c r="E116" s="1107"/>
      <c r="F116" s="1112"/>
      <c r="G116" s="194"/>
      <c r="H116" s="194"/>
      <c r="I116" s="195"/>
      <c r="J116" s="195"/>
      <c r="L116" s="135"/>
      <c r="M116" s="135"/>
      <c r="N116" s="135"/>
    </row>
    <row r="117" spans="2:16" x14ac:dyDescent="0.25">
      <c r="B117" s="437" t="str">
        <f>'III. Datos Entrada-BE'!B85</f>
        <v>julio</v>
      </c>
      <c r="C117" s="563"/>
      <c r="D117" s="20"/>
      <c r="E117" s="1107"/>
      <c r="F117" s="1112"/>
      <c r="G117" s="194"/>
      <c r="H117" s="194"/>
      <c r="I117" s="195"/>
      <c r="J117" s="195"/>
      <c r="L117" s="135"/>
      <c r="M117" s="135"/>
      <c r="N117" s="135"/>
    </row>
    <row r="118" spans="2:16" x14ac:dyDescent="0.25">
      <c r="B118" s="437" t="str">
        <f>'III. Datos Entrada-BE'!B86</f>
        <v>agosto</v>
      </c>
      <c r="C118" s="563"/>
      <c r="D118" s="20"/>
      <c r="E118" s="1107"/>
      <c r="F118" s="1112"/>
      <c r="G118" s="194"/>
      <c r="H118" s="194"/>
      <c r="I118" s="195"/>
      <c r="J118" s="195"/>
      <c r="L118" s="135"/>
      <c r="M118" s="135"/>
      <c r="N118" s="135"/>
    </row>
    <row r="119" spans="2:16" x14ac:dyDescent="0.25">
      <c r="B119" s="437" t="str">
        <f>'III. Datos Entrada-BE'!B87</f>
        <v>septiembre</v>
      </c>
      <c r="C119" s="563"/>
      <c r="D119" s="20"/>
      <c r="E119" s="1107"/>
      <c r="F119" s="1112"/>
      <c r="G119" s="194"/>
      <c r="H119" s="194"/>
      <c r="I119" s="195"/>
      <c r="J119" s="195"/>
      <c r="L119" s="135"/>
      <c r="M119" s="135"/>
      <c r="N119" s="135"/>
    </row>
    <row r="120" spans="2:16" x14ac:dyDescent="0.25">
      <c r="B120" s="437" t="str">
        <f>'III. Datos Entrada-BE'!B88</f>
        <v>octubre</v>
      </c>
      <c r="C120" s="563"/>
      <c r="D120" s="20"/>
      <c r="E120" s="1107"/>
      <c r="F120" s="1112"/>
      <c r="G120" s="194"/>
      <c r="H120" s="194"/>
      <c r="I120" s="195"/>
      <c r="J120" s="195"/>
      <c r="L120" s="135"/>
      <c r="M120" s="135"/>
      <c r="N120" s="135"/>
    </row>
    <row r="121" spans="2:16" x14ac:dyDescent="0.25">
      <c r="B121" s="437" t="str">
        <f>'III. Datos Entrada-BE'!B89</f>
        <v>noviembre</v>
      </c>
      <c r="C121" s="563"/>
      <c r="D121" s="20"/>
      <c r="E121" s="1107"/>
      <c r="F121" s="1112"/>
      <c r="G121" s="194"/>
      <c r="H121" s="194"/>
      <c r="I121" s="195"/>
      <c r="J121" s="195"/>
      <c r="L121" s="135"/>
      <c r="M121" s="135"/>
      <c r="N121" s="135"/>
    </row>
    <row r="122" spans="2:16" ht="13" thickBot="1" x14ac:dyDescent="0.3">
      <c r="B122" s="437" t="str">
        <f>'III. Datos Entrada-BE'!B90</f>
        <v>diciembre</v>
      </c>
      <c r="C122" s="693"/>
      <c r="D122" s="20"/>
      <c r="E122" s="1113"/>
      <c r="F122" s="1115"/>
      <c r="G122" s="194"/>
      <c r="H122" s="194"/>
      <c r="I122" s="195"/>
      <c r="J122" s="195"/>
      <c r="K122" s="135"/>
      <c r="L122" s="135"/>
      <c r="M122" s="135"/>
      <c r="N122" s="135"/>
    </row>
    <row r="123" spans="2:16" x14ac:dyDescent="0.25">
      <c r="B123" s="20"/>
      <c r="C123" s="20"/>
      <c r="D123" s="20"/>
      <c r="E123" s="20"/>
      <c r="F123" s="20"/>
      <c r="G123" s="20"/>
      <c r="H123" s="20"/>
      <c r="I123" s="3"/>
      <c r="J123" s="135"/>
      <c r="K123" s="135"/>
      <c r="L123" s="135"/>
      <c r="M123" s="135"/>
      <c r="N123" s="135"/>
    </row>
    <row r="124" spans="2:16" ht="68.5" customHeight="1" x14ac:dyDescent="0.3">
      <c r="B124" s="1096" t="s">
        <v>857</v>
      </c>
      <c r="C124" s="1096"/>
      <c r="D124" s="1096"/>
      <c r="E124" s="1096"/>
      <c r="F124" s="1096"/>
      <c r="G124" s="1096"/>
      <c r="L124" s="135"/>
      <c r="M124" s="135"/>
      <c r="N124" s="135"/>
      <c r="O124" s="131"/>
      <c r="P124" s="131"/>
    </row>
    <row r="125" spans="2:16" ht="18" customHeight="1" x14ac:dyDescent="0.25">
      <c r="B125" s="222"/>
      <c r="C125" s="222"/>
      <c r="D125" s="222"/>
      <c r="E125" s="222"/>
      <c r="F125" s="222"/>
      <c r="G125" s="222"/>
      <c r="L125" s="135"/>
      <c r="M125" s="135"/>
      <c r="N125" s="135"/>
      <c r="O125" s="131"/>
      <c r="P125" s="131"/>
    </row>
    <row r="126" spans="2:16" s="179" customFormat="1" ht="15.5" x14ac:dyDescent="0.25">
      <c r="B126" s="196" t="s">
        <v>128</v>
      </c>
      <c r="C126" s="197"/>
      <c r="D126" s="197"/>
      <c r="E126" s="197"/>
      <c r="F126" s="198"/>
      <c r="J126" s="183"/>
      <c r="K126" s="183"/>
      <c r="L126" s="183"/>
      <c r="M126" s="183"/>
      <c r="N126" s="183"/>
    </row>
    <row r="127" spans="2:16" ht="15.5" x14ac:dyDescent="0.25">
      <c r="B127" s="758" t="s">
        <v>858</v>
      </c>
      <c r="C127" s="335"/>
      <c r="D127" s="335"/>
      <c r="E127" s="335"/>
      <c r="F127" s="10"/>
      <c r="J127" s="131"/>
      <c r="K127" s="131"/>
      <c r="L127" s="131"/>
      <c r="M127" s="131"/>
      <c r="N127" s="131"/>
    </row>
    <row r="128" spans="2:16" ht="49" customHeight="1" x14ac:dyDescent="0.25">
      <c r="B128" s="1136" t="s">
        <v>129</v>
      </c>
      <c r="C128" s="1136"/>
      <c r="D128" s="1136"/>
      <c r="E128" s="1136"/>
      <c r="F128" s="20"/>
      <c r="H128" s="3"/>
      <c r="I128" s="3"/>
      <c r="J128" s="131"/>
      <c r="K128" s="131"/>
      <c r="L128" s="131"/>
      <c r="M128" s="131"/>
      <c r="N128" s="131"/>
    </row>
    <row r="129" spans="2:14" ht="49" customHeight="1" thickBot="1" x14ac:dyDescent="0.3">
      <c r="B129" s="1145" t="s">
        <v>1012</v>
      </c>
      <c r="C129" s="1145"/>
      <c r="D129" s="1145"/>
      <c r="E129" s="1145"/>
      <c r="F129" s="20"/>
      <c r="H129" s="3"/>
      <c r="I129" s="3"/>
      <c r="J129" s="131"/>
      <c r="K129" s="131"/>
      <c r="L129" s="131"/>
      <c r="M129" s="131"/>
      <c r="N129" s="131"/>
    </row>
    <row r="130" spans="2:14" ht="16" x14ac:dyDescent="0.4">
      <c r="B130" s="157" t="s">
        <v>58</v>
      </c>
      <c r="C130" s="199" t="s">
        <v>130</v>
      </c>
      <c r="D130" s="177" t="s">
        <v>131</v>
      </c>
      <c r="E130" s="200" t="s">
        <v>132</v>
      </c>
      <c r="F130" s="20"/>
      <c r="H130" s="3"/>
      <c r="I130" s="3"/>
      <c r="J130" s="131"/>
      <c r="K130" s="131"/>
      <c r="L130" s="131"/>
      <c r="M130" s="131"/>
      <c r="N130" s="131"/>
    </row>
    <row r="131" spans="2:14" ht="13" thickBot="1" x14ac:dyDescent="0.3">
      <c r="B131" s="529" t="str">
        <f>'III. Datos Entrada-BE'!B79</f>
        <v>enero</v>
      </c>
      <c r="C131" s="564"/>
      <c r="D131" s="660"/>
      <c r="E131" s="661"/>
      <c r="F131" s="20"/>
      <c r="H131" s="3"/>
      <c r="I131" s="3"/>
      <c r="J131" s="131"/>
      <c r="K131" s="131"/>
      <c r="L131" s="131"/>
      <c r="M131" s="131"/>
      <c r="N131" s="131"/>
    </row>
    <row r="132" spans="2:14" x14ac:dyDescent="0.25">
      <c r="B132" s="529" t="str">
        <f>'III. Datos Entrada-BE'!B80</f>
        <v>febrero</v>
      </c>
      <c r="C132" s="564"/>
      <c r="D132" s="660"/>
      <c r="E132" s="661"/>
      <c r="F132" s="20"/>
      <c r="G132" s="1108" t="s">
        <v>852</v>
      </c>
      <c r="H132" s="1214"/>
      <c r="I132" s="1214"/>
      <c r="J132" s="1214"/>
      <c r="K132" s="1215"/>
      <c r="L132" s="131"/>
      <c r="M132" s="131"/>
      <c r="N132" s="131"/>
    </row>
    <row r="133" spans="2:14" x14ac:dyDescent="0.25">
      <c r="B133" s="529" t="str">
        <f>'III. Datos Entrada-BE'!B81</f>
        <v>marzo</v>
      </c>
      <c r="C133" s="564"/>
      <c r="D133" s="660"/>
      <c r="E133" s="661"/>
      <c r="F133" s="20"/>
      <c r="G133" s="1216"/>
      <c r="H133" s="1217"/>
      <c r="I133" s="1217"/>
      <c r="J133" s="1217"/>
      <c r="K133" s="1218"/>
      <c r="L133" s="131"/>
      <c r="M133" s="131"/>
      <c r="N133" s="131"/>
    </row>
    <row r="134" spans="2:14" x14ac:dyDescent="0.25">
      <c r="B134" s="529" t="str">
        <f>'III. Datos Entrada-BE'!B82</f>
        <v>abril</v>
      </c>
      <c r="C134" s="564"/>
      <c r="D134" s="660"/>
      <c r="E134" s="661"/>
      <c r="F134" s="20"/>
      <c r="G134" s="1216"/>
      <c r="H134" s="1217"/>
      <c r="I134" s="1217"/>
      <c r="J134" s="1217"/>
      <c r="K134" s="1218"/>
      <c r="L134" s="131"/>
      <c r="M134" s="131"/>
      <c r="N134" s="131"/>
    </row>
    <row r="135" spans="2:14" x14ac:dyDescent="0.25">
      <c r="B135" s="529" t="str">
        <f>'III. Datos Entrada-BE'!B83</f>
        <v>mayo</v>
      </c>
      <c r="C135" s="564"/>
      <c r="D135" s="660"/>
      <c r="E135" s="661"/>
      <c r="F135" s="20"/>
      <c r="G135" s="1216"/>
      <c r="H135" s="1217"/>
      <c r="I135" s="1217"/>
      <c r="J135" s="1217"/>
      <c r="K135" s="1218"/>
      <c r="L135" s="131"/>
      <c r="M135" s="131"/>
      <c r="N135" s="131"/>
    </row>
    <row r="136" spans="2:14" x14ac:dyDescent="0.25">
      <c r="B136" s="529" t="str">
        <f>'III. Datos Entrada-BE'!B84</f>
        <v>junio</v>
      </c>
      <c r="C136" s="564"/>
      <c r="D136" s="660"/>
      <c r="E136" s="661"/>
      <c r="F136" s="20"/>
      <c r="G136" s="1216"/>
      <c r="H136" s="1217"/>
      <c r="I136" s="1217"/>
      <c r="J136" s="1217"/>
      <c r="K136" s="1218"/>
      <c r="L136" s="131"/>
      <c r="M136" s="131"/>
      <c r="N136" s="131"/>
    </row>
    <row r="137" spans="2:14" x14ac:dyDescent="0.25">
      <c r="B137" s="529" t="str">
        <f>'III. Datos Entrada-BE'!B85</f>
        <v>julio</v>
      </c>
      <c r="C137" s="564"/>
      <c r="D137" s="660"/>
      <c r="E137" s="661"/>
      <c r="F137" s="20"/>
      <c r="G137" s="1216"/>
      <c r="H137" s="1217"/>
      <c r="I137" s="1217"/>
      <c r="J137" s="1217"/>
      <c r="K137" s="1218"/>
      <c r="L137" s="131"/>
      <c r="M137" s="131"/>
      <c r="N137" s="131"/>
    </row>
    <row r="138" spans="2:14" x14ac:dyDescent="0.25">
      <c r="B138" s="529" t="str">
        <f>'III. Datos Entrada-BE'!B86</f>
        <v>agosto</v>
      </c>
      <c r="C138" s="564"/>
      <c r="D138" s="660"/>
      <c r="E138" s="661"/>
      <c r="F138" s="20"/>
      <c r="G138" s="1216"/>
      <c r="H138" s="1217"/>
      <c r="I138" s="1217"/>
      <c r="J138" s="1217"/>
      <c r="K138" s="1218"/>
      <c r="L138" s="131"/>
      <c r="M138" s="131"/>
      <c r="N138" s="131"/>
    </row>
    <row r="139" spans="2:14" x14ac:dyDescent="0.25">
      <c r="B139" s="529" t="str">
        <f>'III. Datos Entrada-BE'!B87</f>
        <v>septiembre</v>
      </c>
      <c r="C139" s="564"/>
      <c r="D139" s="660"/>
      <c r="E139" s="661"/>
      <c r="F139" s="20"/>
      <c r="G139" s="1216"/>
      <c r="H139" s="1217"/>
      <c r="I139" s="1217"/>
      <c r="J139" s="1217"/>
      <c r="K139" s="1218"/>
      <c r="L139" s="131"/>
      <c r="M139" s="131"/>
      <c r="N139" s="131"/>
    </row>
    <row r="140" spans="2:14" ht="13" thickBot="1" x14ac:dyDescent="0.3">
      <c r="B140" s="529" t="str">
        <f>'III. Datos Entrada-BE'!B88</f>
        <v>octubre</v>
      </c>
      <c r="C140" s="564"/>
      <c r="D140" s="660"/>
      <c r="E140" s="661"/>
      <c r="F140" s="20"/>
      <c r="G140" s="1219"/>
      <c r="H140" s="1220"/>
      <c r="I140" s="1220"/>
      <c r="J140" s="1220"/>
      <c r="K140" s="1221"/>
      <c r="L140" s="131"/>
      <c r="M140" s="131"/>
      <c r="N140" s="131"/>
    </row>
    <row r="141" spans="2:14" x14ac:dyDescent="0.25">
      <c r="B141" s="529" t="str">
        <f>'III. Datos Entrada-BE'!B89</f>
        <v>noviembre</v>
      </c>
      <c r="C141" s="564"/>
      <c r="D141" s="660"/>
      <c r="E141" s="661"/>
      <c r="F141" s="20"/>
      <c r="G141" s="188"/>
      <c r="H141" s="188"/>
      <c r="I141" s="188"/>
      <c r="J141" s="188"/>
      <c r="K141" s="188"/>
      <c r="L141" s="131"/>
      <c r="M141" s="131"/>
      <c r="N141" s="131"/>
    </row>
    <row r="142" spans="2:14" ht="13" thickBot="1" x14ac:dyDescent="0.3">
      <c r="B142" s="529" t="str">
        <f>'III. Datos Entrada-BE'!B90</f>
        <v>diciembre</v>
      </c>
      <c r="C142" s="565"/>
      <c r="D142" s="566"/>
      <c r="E142" s="567"/>
      <c r="F142" s="20"/>
      <c r="G142" s="188"/>
      <c r="H142" s="188"/>
      <c r="I142" s="188"/>
      <c r="J142" s="188"/>
      <c r="K142" s="188"/>
      <c r="L142" s="131"/>
      <c r="M142" s="131"/>
      <c r="N142" s="131"/>
    </row>
    <row r="143" spans="2:14" x14ac:dyDescent="0.25">
      <c r="E143" s="3"/>
      <c r="H143" s="3"/>
      <c r="I143" s="3"/>
      <c r="J143" s="135"/>
      <c r="K143" s="135"/>
      <c r="L143" s="135"/>
      <c r="M143" s="135"/>
      <c r="N143" s="135"/>
    </row>
    <row r="144" spans="2:14" s="179" customFormat="1" ht="17.5" x14ac:dyDescent="0.35">
      <c r="B144" s="180" t="s">
        <v>133</v>
      </c>
      <c r="F144" s="198"/>
      <c r="J144" s="183"/>
      <c r="K144" s="183"/>
      <c r="L144" s="183"/>
      <c r="M144" s="183"/>
      <c r="N144" s="183"/>
    </row>
    <row r="145" spans="2:15" ht="15.5" x14ac:dyDescent="0.35">
      <c r="B145" s="754" t="s">
        <v>860</v>
      </c>
      <c r="F145" s="10"/>
      <c r="J145" s="131"/>
      <c r="K145" s="131"/>
      <c r="L145" s="131"/>
      <c r="M145" s="131"/>
      <c r="N145" s="131"/>
    </row>
    <row r="146" spans="2:15" ht="110.5" customHeight="1" thickBot="1" x14ac:dyDescent="0.3">
      <c r="B146" s="1206" t="s">
        <v>859</v>
      </c>
      <c r="C146" s="1119"/>
      <c r="D146" s="1119"/>
      <c r="E146" s="1119"/>
      <c r="F146" s="1119"/>
      <c r="H146" s="3"/>
      <c r="I146" s="3"/>
      <c r="J146" s="131"/>
      <c r="K146" s="131"/>
      <c r="L146" s="131"/>
      <c r="M146" s="131"/>
      <c r="N146" s="131"/>
    </row>
    <row r="147" spans="2:15" ht="32" customHeight="1" x14ac:dyDescent="0.4">
      <c r="B147" s="879" t="s">
        <v>863</v>
      </c>
      <c r="C147" s="869" t="s">
        <v>864</v>
      </c>
      <c r="D147" s="870" t="s">
        <v>134</v>
      </c>
      <c r="E147" s="869" t="s">
        <v>135</v>
      </c>
      <c r="F147" s="871" t="s">
        <v>136</v>
      </c>
      <c r="G147" s="20"/>
      <c r="H147" s="1108" t="s">
        <v>101</v>
      </c>
      <c r="I147" s="1109"/>
      <c r="J147" s="1109"/>
      <c r="K147" s="1109"/>
      <c r="L147" s="1110"/>
      <c r="M147" s="131"/>
      <c r="N147" s="131"/>
      <c r="O147" s="131"/>
    </row>
    <row r="148" spans="2:15" ht="25" x14ac:dyDescent="0.25">
      <c r="B148" s="872" t="str">
        <f>'III. Datos Entrada-BE'!B53</f>
        <v>Poblacion 1
Population 1</v>
      </c>
      <c r="C148" s="867">
        <f>HLOOKUP(B148,'III. Datos Entrada-BE'!$B$78:$L$91,14, FALSE)</f>
        <v>0</v>
      </c>
      <c r="D148" s="866">
        <f>'III. Datos Entrada-BE'!D104</f>
        <v>3.91</v>
      </c>
      <c r="E148" s="868"/>
      <c r="F148" s="873">
        <f>D148*C148*E148*0.3</f>
        <v>0</v>
      </c>
      <c r="G148" s="20"/>
      <c r="H148" s="1107"/>
      <c r="I148" s="1111"/>
      <c r="J148" s="1111"/>
      <c r="K148" s="1111"/>
      <c r="L148" s="1112"/>
      <c r="M148" s="131"/>
      <c r="N148" s="131"/>
      <c r="O148" s="131"/>
    </row>
    <row r="149" spans="2:15" ht="25" x14ac:dyDescent="0.25">
      <c r="B149" s="872" t="str">
        <f>'III. Datos Entrada-BE'!B54</f>
        <v>Poblacion 2
Population 2</v>
      </c>
      <c r="C149" s="867">
        <f>HLOOKUP(B149,'III. Datos Entrada-BE'!$B$78:$L$91,14, FALSE)</f>
        <v>0</v>
      </c>
      <c r="D149" s="866">
        <f>'III. Datos Entrada-BE'!D105</f>
        <v>2.86</v>
      </c>
      <c r="E149" s="868"/>
      <c r="F149" s="873">
        <f t="shared" ref="F149:F157" si="4">D149*C149*E149*0.3</f>
        <v>0</v>
      </c>
      <c r="G149" s="20"/>
      <c r="H149" s="1107"/>
      <c r="I149" s="1111"/>
      <c r="J149" s="1111"/>
      <c r="K149" s="1111"/>
      <c r="L149" s="1112"/>
      <c r="M149" s="131"/>
      <c r="N149" s="131"/>
      <c r="O149" s="131"/>
    </row>
    <row r="150" spans="2:15" ht="25" x14ac:dyDescent="0.25">
      <c r="B150" s="872" t="str">
        <f>'III. Datos Entrada-BE'!B55</f>
        <v>Poblacion 3
Population 3</v>
      </c>
      <c r="C150" s="867">
        <f>HLOOKUP(B150,'III. Datos Entrada-BE'!$B$78:$L$91,14, FALSE)</f>
        <v>0</v>
      </c>
      <c r="D150" s="866">
        <f>'III. Datos Entrada-BE'!D106</f>
        <v>2.4900000000000002</v>
      </c>
      <c r="E150" s="868"/>
      <c r="F150" s="873">
        <f t="shared" si="4"/>
        <v>0</v>
      </c>
      <c r="G150" s="20"/>
      <c r="H150" s="1107"/>
      <c r="I150" s="1111"/>
      <c r="J150" s="1111"/>
      <c r="K150" s="1111"/>
      <c r="L150" s="1112"/>
      <c r="M150" s="131"/>
      <c r="N150" s="131"/>
      <c r="O150" s="131"/>
    </row>
    <row r="151" spans="2:15" ht="25" x14ac:dyDescent="0.25">
      <c r="B151" s="872" t="str">
        <f>'III. Datos Entrada-BE'!B56</f>
        <v>Poblacion 4
Population 4</v>
      </c>
      <c r="C151" s="867">
        <f>HLOOKUP(B151,'III. Datos Entrada-BE'!$B$78:$L$91,14, FALSE)</f>
        <v>0</v>
      </c>
      <c r="D151" s="866">
        <f>'III. Datos Entrada-BE'!D107</f>
        <v>3.87</v>
      </c>
      <c r="E151" s="868"/>
      <c r="F151" s="873">
        <f t="shared" si="4"/>
        <v>0</v>
      </c>
      <c r="G151" s="20"/>
      <c r="H151" s="1107"/>
      <c r="I151" s="1111"/>
      <c r="J151" s="1111"/>
      <c r="K151" s="1111"/>
      <c r="L151" s="1112"/>
      <c r="M151" s="131"/>
      <c r="N151" s="131"/>
      <c r="O151" s="131"/>
    </row>
    <row r="152" spans="2:15" ht="25" x14ac:dyDescent="0.25">
      <c r="B152" s="872" t="str">
        <f>'III. Datos Entrada-BE'!B57</f>
        <v>Poblacion 5
Population 5</v>
      </c>
      <c r="C152" s="867">
        <f>HLOOKUP(B152,'III. Datos Entrada-BE'!$B$78:$L$91,14, FALSE)</f>
        <v>0</v>
      </c>
      <c r="D152" s="866">
        <f>'III. Datos Entrada-BE'!D108</f>
        <v>1.25</v>
      </c>
      <c r="E152" s="868"/>
      <c r="F152" s="873">
        <f t="shared" si="4"/>
        <v>0</v>
      </c>
      <c r="G152" s="20"/>
      <c r="H152" s="1107"/>
      <c r="I152" s="1111"/>
      <c r="J152" s="1111"/>
      <c r="K152" s="1111"/>
      <c r="L152" s="1112"/>
      <c r="M152" s="131"/>
      <c r="N152" s="131"/>
      <c r="O152" s="131"/>
    </row>
    <row r="153" spans="2:15" ht="25" x14ac:dyDescent="0.25">
      <c r="B153" s="872" t="str">
        <f>'III. Datos Entrada-BE'!B58</f>
        <v>Poblacion 6
Population 6</v>
      </c>
      <c r="C153" s="867">
        <f>HLOOKUP(B153,'III. Datos Entrada-BE'!$B$78:$L$91,14, FALSE)</f>
        <v>0</v>
      </c>
      <c r="D153" s="866">
        <f>'III. Datos Entrada-BE'!D109</f>
        <v>0.52</v>
      </c>
      <c r="E153" s="868"/>
      <c r="F153" s="873">
        <f t="shared" si="4"/>
        <v>0</v>
      </c>
      <c r="G153" s="20"/>
      <c r="H153" s="1107"/>
      <c r="I153" s="1111"/>
      <c r="J153" s="1111"/>
      <c r="K153" s="1111"/>
      <c r="L153" s="1112"/>
      <c r="M153" s="131"/>
      <c r="N153" s="131"/>
      <c r="O153" s="131"/>
    </row>
    <row r="154" spans="2:15" ht="25" x14ac:dyDescent="0.25">
      <c r="B154" s="872" t="str">
        <f>'III. Datos Entrada-BE'!B59</f>
        <v>Poblacion 7
Population 7</v>
      </c>
      <c r="C154" s="867">
        <f>HLOOKUP(B154,'III. Datos Entrada-BE'!$B$78:$L$91,14, FALSE)</f>
        <v>0</v>
      </c>
      <c r="D154" s="866">
        <f>'III. Datos Entrada-BE'!D110</f>
        <v>2.86</v>
      </c>
      <c r="E154" s="868"/>
      <c r="F154" s="873">
        <f t="shared" si="4"/>
        <v>0</v>
      </c>
      <c r="G154" s="20"/>
      <c r="H154" s="1107"/>
      <c r="I154" s="1111"/>
      <c r="J154" s="1111"/>
      <c r="K154" s="1111"/>
      <c r="L154" s="1112"/>
      <c r="M154" s="131"/>
      <c r="N154" s="131"/>
      <c r="O154" s="131"/>
    </row>
    <row r="155" spans="2:15" ht="25" x14ac:dyDescent="0.25">
      <c r="B155" s="872" t="str">
        <f>'III. Datos Entrada-BE'!B60</f>
        <v>Poblacion 8
Population 8</v>
      </c>
      <c r="C155" s="867">
        <f>HLOOKUP(B155,'III. Datos Entrada-BE'!$B$78:$L$91,14, FALSE)</f>
        <v>0</v>
      </c>
      <c r="D155" s="866">
        <f>'III. Datos Entrada-BE'!D111</f>
        <v>3.55</v>
      </c>
      <c r="E155" s="868"/>
      <c r="F155" s="873">
        <f t="shared" si="4"/>
        <v>0</v>
      </c>
      <c r="G155" s="20"/>
      <c r="H155" s="1107"/>
      <c r="I155" s="1111"/>
      <c r="J155" s="1111"/>
      <c r="K155" s="1111"/>
      <c r="L155" s="1112"/>
      <c r="M155" s="131"/>
      <c r="N155" s="131"/>
      <c r="O155" s="131"/>
    </row>
    <row r="156" spans="2:15" ht="25" x14ac:dyDescent="0.25">
      <c r="B156" s="872" t="str">
        <f>'III. Datos Entrada-BE'!B61</f>
        <v>Poblacion 9
Population 9</v>
      </c>
      <c r="C156" s="867">
        <f>HLOOKUP(B156,'III. Datos Entrada-BE'!$B$78:$L$91,14, FALSE)</f>
        <v>0</v>
      </c>
      <c r="D156" s="866">
        <f>'III. Datos Entrada-BE'!D112</f>
        <v>0.16600000000000001</v>
      </c>
      <c r="E156" s="868"/>
      <c r="F156" s="873">
        <f t="shared" si="4"/>
        <v>0</v>
      </c>
      <c r="G156" s="20"/>
      <c r="H156" s="1107"/>
      <c r="I156" s="1111"/>
      <c r="J156" s="1111"/>
      <c r="K156" s="1111"/>
      <c r="L156" s="1112"/>
      <c r="M156" s="131"/>
      <c r="N156" s="131"/>
      <c r="O156" s="131"/>
    </row>
    <row r="157" spans="2:15" ht="25.5" thickBot="1" x14ac:dyDescent="0.3">
      <c r="B157" s="874" t="str">
        <f>'III. Datos Entrada-BE'!B62</f>
        <v>Poblacion 10
Population 10</v>
      </c>
      <c r="C157" s="875">
        <f>HLOOKUP(B157,'III. Datos Entrada-BE'!$B$78:$L$91,14, FALSE)</f>
        <v>0</v>
      </c>
      <c r="D157" s="876">
        <f>'III. Datos Entrada-BE'!D113</f>
        <v>0.40500000000000003</v>
      </c>
      <c r="E157" s="877"/>
      <c r="F157" s="878">
        <f t="shared" si="4"/>
        <v>0</v>
      </c>
      <c r="G157" s="20"/>
      <c r="H157" s="1107"/>
      <c r="I157" s="1111"/>
      <c r="J157" s="1111"/>
      <c r="K157" s="1111"/>
      <c r="L157" s="1112"/>
      <c r="M157" s="131"/>
      <c r="N157" s="131"/>
      <c r="O157" s="131"/>
    </row>
    <row r="158" spans="2:15" ht="15.5" thickBot="1" x14ac:dyDescent="0.45">
      <c r="B158" s="189"/>
      <c r="C158" s="20"/>
      <c r="D158" s="20"/>
      <c r="E158" s="201" t="s">
        <v>137</v>
      </c>
      <c r="F158" s="202">
        <f>SUM(F148:F157)</f>
        <v>0</v>
      </c>
      <c r="H158" s="1107"/>
      <c r="I158" s="1111"/>
      <c r="J158" s="1111"/>
      <c r="K158" s="1111"/>
      <c r="L158" s="1112"/>
      <c r="M158" s="131"/>
      <c r="N158" s="131"/>
    </row>
    <row r="159" spans="2:15" ht="13.5" thickBot="1" x14ac:dyDescent="0.35">
      <c r="B159" s="19"/>
      <c r="C159" s="20"/>
      <c r="D159" s="20"/>
      <c r="E159" s="20"/>
      <c r="F159" s="20"/>
      <c r="H159" s="1107"/>
      <c r="I159" s="1111"/>
      <c r="J159" s="1111"/>
      <c r="K159" s="1111"/>
      <c r="L159" s="1112"/>
      <c r="M159" s="131"/>
      <c r="N159" s="131"/>
    </row>
    <row r="160" spans="2:15" ht="15" x14ac:dyDescent="0.25">
      <c r="B160" s="1222" t="s">
        <v>138</v>
      </c>
      <c r="C160" s="1223"/>
      <c r="D160" s="1222" t="s">
        <v>139</v>
      </c>
      <c r="E160" s="1223"/>
      <c r="F160" s="20"/>
      <c r="H160" s="1107"/>
      <c r="I160" s="1111"/>
      <c r="J160" s="1111"/>
      <c r="K160" s="1111"/>
      <c r="L160" s="1112"/>
      <c r="M160" s="131"/>
      <c r="N160" s="131"/>
    </row>
    <row r="161" spans="1:17" ht="51" x14ac:dyDescent="0.3">
      <c r="A161" s="22"/>
      <c r="B161" s="568" t="s">
        <v>861</v>
      </c>
      <c r="C161" s="662" t="s">
        <v>862</v>
      </c>
      <c r="D161" s="203" t="s">
        <v>865</v>
      </c>
      <c r="E161" s="204" t="s">
        <v>862</v>
      </c>
      <c r="F161" s="22"/>
      <c r="G161" s="22"/>
      <c r="H161" s="1107"/>
      <c r="I161" s="1111"/>
      <c r="J161" s="1111"/>
      <c r="K161" s="1111"/>
      <c r="L161" s="1112"/>
      <c r="M161" s="131"/>
      <c r="N161" s="131"/>
    </row>
    <row r="162" spans="1:17" ht="13.5" thickBot="1" x14ac:dyDescent="0.35">
      <c r="A162" s="22"/>
      <c r="B162" s="205">
        <f>IF(E148=0,0,SUMPRODUCT(C148:C157, E148:E157,'III. Datos Entrada-BE'!C120:C129)/SUMPRODUCT(C148:C157,E148:E157))</f>
        <v>0</v>
      </c>
      <c r="C162" s="206"/>
      <c r="D162" s="1025"/>
      <c r="E162" s="554"/>
      <c r="F162" s="1193"/>
      <c r="G162" s="1194"/>
      <c r="H162" s="1113"/>
      <c r="I162" s="1114"/>
      <c r="J162" s="1114"/>
      <c r="K162" s="1114"/>
      <c r="L162" s="1115"/>
      <c r="M162" s="131"/>
      <c r="N162" s="131"/>
    </row>
    <row r="163" spans="1:17" ht="13" x14ac:dyDescent="0.3">
      <c r="A163" s="22"/>
      <c r="B163" s="22"/>
      <c r="C163" s="22"/>
      <c r="F163" s="10"/>
      <c r="G163" s="22"/>
    </row>
    <row r="164" spans="1:17" ht="52.5" customHeight="1" x14ac:dyDescent="0.3">
      <c r="A164" s="22"/>
      <c r="B164" s="1195" t="s">
        <v>866</v>
      </c>
      <c r="C164" s="1195"/>
      <c r="D164" s="1195"/>
      <c r="E164" s="1195"/>
      <c r="F164" s="1195"/>
      <c r="G164" s="1195"/>
    </row>
    <row r="165" spans="1:17" ht="52" customHeight="1" x14ac:dyDescent="0.3">
      <c r="A165" s="22"/>
      <c r="B165" s="1136" t="s">
        <v>867</v>
      </c>
      <c r="C165" s="1199"/>
      <c r="D165" s="1199"/>
      <c r="E165" s="1199"/>
      <c r="F165" s="1199"/>
      <c r="G165" s="1199"/>
    </row>
    <row r="166" spans="1:17" ht="122.5" customHeight="1" x14ac:dyDescent="0.3">
      <c r="A166" s="22"/>
      <c r="B166" s="1200" t="s">
        <v>1013</v>
      </c>
      <c r="C166" s="1119"/>
      <c r="D166" s="1119"/>
      <c r="E166" s="1119"/>
      <c r="F166" s="1119"/>
      <c r="G166" s="1119"/>
    </row>
    <row r="167" spans="1:17" x14ac:dyDescent="0.25">
      <c r="C167" s="10"/>
      <c r="D167" s="10"/>
      <c r="E167" s="10"/>
      <c r="F167" s="10"/>
      <c r="G167" s="10"/>
      <c r="H167" s="10"/>
      <c r="I167" s="10"/>
      <c r="J167" s="10"/>
      <c r="K167" s="10"/>
      <c r="L167" s="10"/>
      <c r="M167" s="10"/>
    </row>
    <row r="168" spans="1:17" s="179" customFormat="1" ht="15.5" x14ac:dyDescent="0.35">
      <c r="B168" s="180" t="s">
        <v>140</v>
      </c>
      <c r="C168" s="198"/>
      <c r="D168" s="198"/>
      <c r="E168" s="198"/>
      <c r="F168" s="198"/>
      <c r="G168" s="198"/>
      <c r="L168" s="198"/>
      <c r="M168" s="198"/>
    </row>
    <row r="169" spans="1:17" ht="16" thickBot="1" x14ac:dyDescent="0.4">
      <c r="B169" s="754" t="s">
        <v>868</v>
      </c>
      <c r="C169" s="10"/>
      <c r="D169" s="10"/>
      <c r="E169" s="10"/>
      <c r="F169" s="10"/>
      <c r="G169" s="10"/>
      <c r="L169" s="10"/>
      <c r="M169" s="10"/>
    </row>
    <row r="170" spans="1:17" ht="71.150000000000006" customHeight="1" x14ac:dyDescent="0.25">
      <c r="B170" s="1119" t="s">
        <v>141</v>
      </c>
      <c r="C170" s="1119"/>
      <c r="D170" s="1119"/>
      <c r="E170" s="1119"/>
      <c r="F170" s="1119"/>
      <c r="G170" s="10"/>
      <c r="H170" s="1108" t="s">
        <v>101</v>
      </c>
      <c r="I170" s="1109"/>
      <c r="J170" s="1109"/>
      <c r="K170" s="1109"/>
      <c r="L170" s="1110"/>
    </row>
    <row r="171" spans="1:17" ht="58.5" customHeight="1" x14ac:dyDescent="0.25">
      <c r="B171" s="1147" t="s">
        <v>869</v>
      </c>
      <c r="C171" s="1136"/>
      <c r="D171" s="1136"/>
      <c r="E171" s="1136"/>
      <c r="F171" s="1136"/>
      <c r="G171" s="10"/>
      <c r="H171" s="1107"/>
      <c r="I171" s="1111"/>
      <c r="J171" s="1111"/>
      <c r="K171" s="1111"/>
      <c r="L171" s="1112"/>
    </row>
    <row r="172" spans="1:17" ht="13" thickBot="1" x14ac:dyDescent="0.3">
      <c r="G172" s="10"/>
      <c r="H172" s="1107"/>
      <c r="I172" s="1111"/>
      <c r="J172" s="1111"/>
      <c r="K172" s="1111"/>
      <c r="L172" s="1112"/>
    </row>
    <row r="173" spans="1:17" ht="49" customHeight="1" x14ac:dyDescent="0.25">
      <c r="A173" s="95"/>
      <c r="B173" s="1202" t="s">
        <v>870</v>
      </c>
      <c r="C173" s="1203"/>
      <c r="D173" s="1203" t="s">
        <v>874</v>
      </c>
      <c r="E173" s="1205"/>
      <c r="G173" s="207"/>
      <c r="H173" s="1107"/>
      <c r="I173" s="1111"/>
      <c r="J173" s="1111"/>
      <c r="K173" s="1111"/>
      <c r="L173" s="1112"/>
      <c r="N173" s="95"/>
      <c r="O173" s="95"/>
      <c r="P173" s="95"/>
      <c r="Q173" s="95"/>
    </row>
    <row r="174" spans="1:17" ht="15.5" customHeight="1" x14ac:dyDescent="0.25">
      <c r="B174" s="1152"/>
      <c r="C174" s="1153"/>
      <c r="D174" s="1156"/>
      <c r="E174" s="1157"/>
      <c r="G174" s="10"/>
      <c r="H174" s="1107"/>
      <c r="I174" s="1111"/>
      <c r="J174" s="1111"/>
      <c r="K174" s="1111"/>
      <c r="L174" s="1112"/>
    </row>
    <row r="175" spans="1:17" x14ac:dyDescent="0.25">
      <c r="B175" s="1152"/>
      <c r="C175" s="1153"/>
      <c r="D175" s="1156"/>
      <c r="E175" s="1157"/>
      <c r="G175" s="353"/>
      <c r="H175" s="1107"/>
      <c r="I175" s="1111"/>
      <c r="J175" s="1111"/>
      <c r="K175" s="1111"/>
      <c r="L175" s="1112"/>
    </row>
    <row r="176" spans="1:17" ht="40" customHeight="1" x14ac:dyDescent="0.25">
      <c r="B176" s="1204" t="s">
        <v>872</v>
      </c>
      <c r="C176" s="1158"/>
      <c r="D176" s="1158" t="s">
        <v>873</v>
      </c>
      <c r="E176" s="1159"/>
      <c r="G176" s="353"/>
      <c r="H176" s="1107"/>
      <c r="I176" s="1111"/>
      <c r="J176" s="1111"/>
      <c r="K176" s="1111"/>
      <c r="L176" s="1112"/>
    </row>
    <row r="177" spans="1:16" x14ac:dyDescent="0.25">
      <c r="B177" s="1152"/>
      <c r="C177" s="1153"/>
      <c r="D177" s="1156"/>
      <c r="E177" s="1157"/>
      <c r="G177" s="353"/>
      <c r="H177" s="1107"/>
      <c r="I177" s="1111"/>
      <c r="J177" s="1111"/>
      <c r="K177" s="1111"/>
      <c r="L177" s="1112"/>
    </row>
    <row r="178" spans="1:16" x14ac:dyDescent="0.25">
      <c r="B178" s="1152"/>
      <c r="C178" s="1153"/>
      <c r="D178" s="1156"/>
      <c r="E178" s="1157"/>
      <c r="G178" s="353"/>
      <c r="H178" s="1107"/>
      <c r="I178" s="1111"/>
      <c r="J178" s="1111"/>
      <c r="K178" s="1111"/>
      <c r="L178" s="1112"/>
    </row>
    <row r="179" spans="1:16" ht="12" customHeight="1" x14ac:dyDescent="0.25">
      <c r="B179" s="1152"/>
      <c r="C179" s="1153"/>
      <c r="D179" s="1156"/>
      <c r="E179" s="1157"/>
      <c r="G179" s="353"/>
      <c r="H179" s="1107"/>
      <c r="I179" s="1111"/>
      <c r="J179" s="1111"/>
      <c r="K179" s="1111"/>
      <c r="L179" s="1112"/>
    </row>
    <row r="180" spans="1:16" ht="12" customHeight="1" x14ac:dyDescent="0.25">
      <c r="B180" s="1152"/>
      <c r="C180" s="1153"/>
      <c r="D180" s="1156"/>
      <c r="E180" s="1157"/>
      <c r="G180" s="353"/>
      <c r="H180" s="1107"/>
      <c r="I180" s="1111"/>
      <c r="J180" s="1111"/>
      <c r="K180" s="1111"/>
      <c r="L180" s="1112"/>
    </row>
    <row r="181" spans="1:16" ht="12" customHeight="1" x14ac:dyDescent="0.25">
      <c r="B181" s="1152"/>
      <c r="C181" s="1153"/>
      <c r="D181" s="1156"/>
      <c r="E181" s="1157"/>
      <c r="G181" s="353"/>
      <c r="H181" s="1107"/>
      <c r="I181" s="1111"/>
      <c r="J181" s="1111"/>
      <c r="K181" s="1111"/>
      <c r="L181" s="1112"/>
    </row>
    <row r="182" spans="1:16" ht="12" customHeight="1" x14ac:dyDescent="0.25">
      <c r="B182" s="1152"/>
      <c r="C182" s="1153"/>
      <c r="D182" s="1156"/>
      <c r="E182" s="1157"/>
      <c r="G182" s="353"/>
      <c r="H182" s="1107"/>
      <c r="I182" s="1111"/>
      <c r="J182" s="1111"/>
      <c r="K182" s="1111"/>
      <c r="L182" s="1112"/>
    </row>
    <row r="183" spans="1:16" ht="12" customHeight="1" x14ac:dyDescent="0.25">
      <c r="B183" s="1152"/>
      <c r="C183" s="1153"/>
      <c r="D183" s="1156"/>
      <c r="E183" s="1157"/>
      <c r="G183" s="353"/>
      <c r="H183" s="1107"/>
      <c r="I183" s="1111"/>
      <c r="J183" s="1111"/>
      <c r="K183" s="1111"/>
      <c r="L183" s="1112"/>
    </row>
    <row r="184" spans="1:16" ht="12" customHeight="1" x14ac:dyDescent="0.25">
      <c r="B184" s="1152"/>
      <c r="C184" s="1153"/>
      <c r="D184" s="1156"/>
      <c r="E184" s="1157"/>
      <c r="G184" s="353"/>
      <c r="H184" s="1107"/>
      <c r="I184" s="1111"/>
      <c r="J184" s="1111"/>
      <c r="K184" s="1111"/>
      <c r="L184" s="1112"/>
    </row>
    <row r="185" spans="1:16" x14ac:dyDescent="0.25">
      <c r="B185" s="1152"/>
      <c r="C185" s="1153"/>
      <c r="D185" s="1156"/>
      <c r="E185" s="1157"/>
      <c r="G185" s="353"/>
      <c r="H185" s="1107"/>
      <c r="I185" s="1111"/>
      <c r="J185" s="1111"/>
      <c r="K185" s="1111"/>
      <c r="L185" s="1112"/>
    </row>
    <row r="186" spans="1:16" ht="13" customHeight="1" thickBot="1" x14ac:dyDescent="0.3">
      <c r="B186" s="1154"/>
      <c r="C186" s="1155"/>
      <c r="D186" s="1160"/>
      <c r="E186" s="1161"/>
      <c r="G186" s="886"/>
      <c r="H186" s="1113"/>
      <c r="I186" s="1114"/>
      <c r="J186" s="1114"/>
      <c r="K186" s="1114"/>
      <c r="L186" s="1115"/>
    </row>
    <row r="187" spans="1:16" x14ac:dyDescent="0.25">
      <c r="C187" s="5"/>
      <c r="D187" s="10"/>
      <c r="F187" s="10"/>
      <c r="G187" s="10"/>
      <c r="H187" s="10"/>
      <c r="I187" s="10"/>
      <c r="J187" s="10"/>
      <c r="K187" s="10"/>
      <c r="L187" s="10"/>
      <c r="M187" s="10"/>
    </row>
    <row r="188" spans="1:16" s="179" customFormat="1" ht="15.5" x14ac:dyDescent="0.35">
      <c r="B188" s="180" t="s">
        <v>142</v>
      </c>
      <c r="C188" s="198"/>
      <c r="D188" s="198"/>
      <c r="E188" s="198"/>
      <c r="F188" s="198"/>
      <c r="G188" s="198"/>
      <c r="H188" s="198"/>
      <c r="I188" s="198"/>
      <c r="J188" s="198"/>
      <c r="K188" s="198"/>
      <c r="L188" s="198"/>
      <c r="M188" s="198"/>
    </row>
    <row r="189" spans="1:16" ht="15.5" x14ac:dyDescent="0.35">
      <c r="B189" s="754" t="s">
        <v>894</v>
      </c>
      <c r="C189" s="10"/>
      <c r="D189" s="10"/>
      <c r="E189" s="10"/>
      <c r="F189" s="10"/>
      <c r="G189" s="10"/>
      <c r="H189" s="10"/>
      <c r="I189" s="10"/>
      <c r="J189" s="10"/>
      <c r="K189" s="10"/>
      <c r="L189" s="10"/>
      <c r="M189" s="10"/>
    </row>
    <row r="190" spans="1:16" x14ac:dyDescent="0.25">
      <c r="B190" s="1201" t="s">
        <v>143</v>
      </c>
      <c r="C190" s="1096"/>
      <c r="D190" s="1096"/>
      <c r="E190" s="1096"/>
      <c r="F190" s="1096"/>
      <c r="G190" s="1096"/>
      <c r="H190" s="1096"/>
      <c r="I190" s="1096"/>
      <c r="J190" s="1096"/>
      <c r="K190" s="1096"/>
      <c r="L190" s="1096"/>
      <c r="M190" s="10"/>
    </row>
    <row r="191" spans="1:16" ht="13.5" thickBot="1" x14ac:dyDescent="0.35">
      <c r="B191" s="316" t="s">
        <v>895</v>
      </c>
      <c r="M191" s="10"/>
    </row>
    <row r="192" spans="1:16" ht="65.5" thickBot="1" x14ac:dyDescent="0.35">
      <c r="A192" s="22"/>
      <c r="B192" s="208" t="s">
        <v>892</v>
      </c>
      <c r="C192" s="887" t="str">
        <f>'III. Datos Entrada-BE'!C78</f>
        <v>Poblacion 1
Population 1</v>
      </c>
      <c r="D192" s="392" t="str">
        <f>'III. Datos Entrada-BE'!D78</f>
        <v>Poblacion 2
Population 2</v>
      </c>
      <c r="E192" s="392" t="str">
        <f>'III. Datos Entrada-BE'!E78</f>
        <v>Poblacion 3
Population 3</v>
      </c>
      <c r="F192" s="392" t="str">
        <f>'III. Datos Entrada-BE'!F78</f>
        <v>Poblacion 4
Population 4</v>
      </c>
      <c r="G192" s="392" t="str">
        <f>'III. Datos Entrada-BE'!G78</f>
        <v>Poblacion 5
Population 5</v>
      </c>
      <c r="H192" s="392" t="str">
        <f>'III. Datos Entrada-BE'!H78</f>
        <v>Poblacion 6
Population 6</v>
      </c>
      <c r="I192" s="392" t="str">
        <f>'III. Datos Entrada-BE'!I78</f>
        <v>Poblacion 7
Population 7</v>
      </c>
      <c r="J192" s="392" t="str">
        <f>'III. Datos Entrada-BE'!J78</f>
        <v>Poblacion 8
Population 8</v>
      </c>
      <c r="K192" s="392" t="str">
        <f>'III. Datos Entrada-BE'!K78</f>
        <v>Poblacion 9
Population 9</v>
      </c>
      <c r="L192" s="393" t="str">
        <f>'III. Datos Entrada-BE'!L78</f>
        <v>Poblacion 10
Population 10</v>
      </c>
      <c r="M192" s="96"/>
      <c r="N192" s="96"/>
      <c r="O192" s="22"/>
      <c r="P192" s="22"/>
    </row>
    <row r="193" spans="1:16" ht="13" x14ac:dyDescent="0.25">
      <c r="B193" s="209" t="str">
        <f>IF(B174=0," ",B174)</f>
        <v xml:space="preserve"> </v>
      </c>
      <c r="C193" s="390"/>
      <c r="D193" s="128"/>
      <c r="E193" s="128"/>
      <c r="F193" s="128"/>
      <c r="G193" s="128"/>
      <c r="H193" s="128"/>
      <c r="I193" s="128"/>
      <c r="J193" s="128"/>
      <c r="K193" s="128"/>
      <c r="L193" s="329"/>
      <c r="M193" s="130"/>
      <c r="N193" s="130"/>
    </row>
    <row r="194" spans="1:16" ht="13.5" thickBot="1" x14ac:dyDescent="0.3">
      <c r="B194" s="209" t="str">
        <f>IF(B175=0," ",B175)</f>
        <v xml:space="preserve"> </v>
      </c>
      <c r="C194" s="545"/>
      <c r="D194" s="541"/>
      <c r="E194" s="541"/>
      <c r="F194" s="541"/>
      <c r="G194" s="541"/>
      <c r="H194" s="541"/>
      <c r="I194" s="541"/>
      <c r="J194" s="541"/>
      <c r="K194" s="541"/>
      <c r="L194" s="542"/>
      <c r="M194" s="130"/>
      <c r="N194" s="130"/>
    </row>
    <row r="195" spans="1:16" ht="13.5" thickBot="1" x14ac:dyDescent="0.3">
      <c r="B195" s="211"/>
      <c r="C195" s="10"/>
      <c r="D195" s="10"/>
      <c r="E195" s="10"/>
      <c r="F195" s="10"/>
      <c r="G195" s="10"/>
      <c r="H195" s="10"/>
      <c r="I195" s="10"/>
      <c r="J195" s="10"/>
      <c r="K195" s="10"/>
      <c r="L195" s="394"/>
    </row>
    <row r="196" spans="1:16" ht="65.5" thickBot="1" x14ac:dyDescent="0.35">
      <c r="A196" s="22"/>
      <c r="B196" s="494" t="s">
        <v>893</v>
      </c>
      <c r="C196" s="888" t="str">
        <f>'III. Datos Entrada-BE'!C78</f>
        <v>Poblacion 1
Population 1</v>
      </c>
      <c r="D196" s="427" t="str">
        <f>'III. Datos Entrada-BE'!D78</f>
        <v>Poblacion 2
Population 2</v>
      </c>
      <c r="E196" s="427" t="str">
        <f>'III. Datos Entrada-BE'!E78</f>
        <v>Poblacion 3
Population 3</v>
      </c>
      <c r="F196" s="427" t="str">
        <f>'III. Datos Entrada-BE'!F78</f>
        <v>Poblacion 4
Population 4</v>
      </c>
      <c r="G196" s="427" t="str">
        <f>'III. Datos Entrada-BE'!G78</f>
        <v>Poblacion 5
Population 5</v>
      </c>
      <c r="H196" s="427" t="str">
        <f>'III. Datos Entrada-BE'!H78</f>
        <v>Poblacion 6
Population 6</v>
      </c>
      <c r="I196" s="427" t="str">
        <f>'III. Datos Entrada-BE'!I78</f>
        <v>Poblacion 7
Population 7</v>
      </c>
      <c r="J196" s="427" t="str">
        <f>'III. Datos Entrada-BE'!J78</f>
        <v>Poblacion 8
Population 8</v>
      </c>
      <c r="K196" s="427" t="str">
        <f>'III. Datos Entrada-BE'!K78</f>
        <v>Poblacion 9
Population 9</v>
      </c>
      <c r="L196" s="889" t="str">
        <f>'III. Datos Entrada-BE'!L78</f>
        <v>Poblacion 10
Population 10</v>
      </c>
      <c r="M196" s="96"/>
      <c r="N196" s="96"/>
      <c r="O196" s="22"/>
      <c r="P196" s="22"/>
    </row>
    <row r="197" spans="1:16" ht="13" x14ac:dyDescent="0.25">
      <c r="B197" s="209" t="str">
        <f>IF(B177=0," ",B17)</f>
        <v xml:space="preserve"> </v>
      </c>
      <c r="C197" s="390"/>
      <c r="D197" s="128"/>
      <c r="E197" s="128"/>
      <c r="F197" s="128"/>
      <c r="G197" s="128"/>
      <c r="H197" s="128"/>
      <c r="I197" s="128"/>
      <c r="J197" s="128"/>
      <c r="K197" s="128"/>
      <c r="L197" s="329"/>
      <c r="M197" s="130"/>
      <c r="N197" s="130"/>
    </row>
    <row r="198" spans="1:16" ht="13" x14ac:dyDescent="0.25">
      <c r="B198" s="209" t="str">
        <f t="shared" ref="B198:B206" si="5">IF(B178=0," ",B18)</f>
        <v xml:space="preserve"> </v>
      </c>
      <c r="C198" s="210"/>
      <c r="D198" s="167"/>
      <c r="E198" s="167"/>
      <c r="F198" s="167"/>
      <c r="G198" s="167"/>
      <c r="H198" s="167"/>
      <c r="I198" s="167"/>
      <c r="J198" s="167"/>
      <c r="K198" s="167"/>
      <c r="L198" s="168"/>
      <c r="M198" s="130"/>
      <c r="N198" s="130"/>
    </row>
    <row r="199" spans="1:16" ht="13" x14ac:dyDescent="0.25">
      <c r="B199" s="209" t="str">
        <f t="shared" si="5"/>
        <v xml:space="preserve"> </v>
      </c>
      <c r="C199" s="210"/>
      <c r="D199" s="167"/>
      <c r="E199" s="167"/>
      <c r="F199" s="167"/>
      <c r="G199" s="167"/>
      <c r="H199" s="167"/>
      <c r="I199" s="167"/>
      <c r="J199" s="167"/>
      <c r="K199" s="167"/>
      <c r="L199" s="168"/>
      <c r="M199" s="130"/>
      <c r="N199" s="130"/>
    </row>
    <row r="200" spans="1:16" ht="13" x14ac:dyDescent="0.25">
      <c r="B200" s="209" t="str">
        <f t="shared" si="5"/>
        <v xml:space="preserve"> </v>
      </c>
      <c r="C200" s="210"/>
      <c r="D200" s="167"/>
      <c r="E200" s="167"/>
      <c r="F200" s="167"/>
      <c r="G200" s="167"/>
      <c r="H200" s="167"/>
      <c r="I200" s="167"/>
      <c r="J200" s="167"/>
      <c r="K200" s="167"/>
      <c r="L200" s="168"/>
      <c r="M200" s="130"/>
      <c r="N200" s="130"/>
    </row>
    <row r="201" spans="1:16" ht="13" x14ac:dyDescent="0.25">
      <c r="B201" s="209" t="str">
        <f t="shared" si="5"/>
        <v xml:space="preserve"> </v>
      </c>
      <c r="C201" s="210"/>
      <c r="D201" s="167"/>
      <c r="E201" s="167"/>
      <c r="F201" s="167"/>
      <c r="G201" s="167"/>
      <c r="H201" s="167"/>
      <c r="I201" s="167"/>
      <c r="J201" s="167"/>
      <c r="K201" s="167"/>
      <c r="L201" s="168"/>
      <c r="M201" s="130"/>
      <c r="N201" s="130"/>
    </row>
    <row r="202" spans="1:16" ht="13" x14ac:dyDescent="0.25">
      <c r="B202" s="209" t="str">
        <f t="shared" si="5"/>
        <v xml:space="preserve"> </v>
      </c>
      <c r="C202" s="210"/>
      <c r="D202" s="167"/>
      <c r="E202" s="167"/>
      <c r="F202" s="167"/>
      <c r="G202" s="167"/>
      <c r="H202" s="167"/>
      <c r="I202" s="167"/>
      <c r="J202" s="167"/>
      <c r="K202" s="167"/>
      <c r="L202" s="168"/>
      <c r="M202" s="130"/>
      <c r="N202" s="130"/>
    </row>
    <row r="203" spans="1:16" ht="13" x14ac:dyDescent="0.25">
      <c r="B203" s="209" t="str">
        <f t="shared" si="5"/>
        <v xml:space="preserve"> </v>
      </c>
      <c r="C203" s="210"/>
      <c r="D203" s="167"/>
      <c r="E203" s="167"/>
      <c r="F203" s="167"/>
      <c r="G203" s="167"/>
      <c r="H203" s="167"/>
      <c r="I203" s="167"/>
      <c r="J203" s="167"/>
      <c r="K203" s="167"/>
      <c r="L203" s="168"/>
      <c r="M203" s="130"/>
      <c r="N203" s="130"/>
    </row>
    <row r="204" spans="1:16" ht="13" x14ac:dyDescent="0.25">
      <c r="B204" s="209" t="str">
        <f t="shared" si="5"/>
        <v xml:space="preserve"> </v>
      </c>
      <c r="C204" s="210"/>
      <c r="D204" s="167"/>
      <c r="E204" s="167"/>
      <c r="F204" s="167"/>
      <c r="G204" s="167"/>
      <c r="H204" s="167"/>
      <c r="I204" s="167"/>
      <c r="J204" s="167"/>
      <c r="K204" s="167"/>
      <c r="L204" s="168"/>
      <c r="M204" s="130"/>
      <c r="N204" s="130"/>
    </row>
    <row r="205" spans="1:16" ht="13" x14ac:dyDescent="0.25">
      <c r="B205" s="209" t="str">
        <f t="shared" si="5"/>
        <v xml:space="preserve"> </v>
      </c>
      <c r="C205" s="210"/>
      <c r="D205" s="167"/>
      <c r="E205" s="167"/>
      <c r="F205" s="167"/>
      <c r="G205" s="167"/>
      <c r="H205" s="167"/>
      <c r="I205" s="167"/>
      <c r="J205" s="167"/>
      <c r="K205" s="167"/>
      <c r="L205" s="168"/>
      <c r="M205" s="130"/>
      <c r="N205" s="130"/>
    </row>
    <row r="206" spans="1:16" ht="13.5" thickBot="1" x14ac:dyDescent="0.3">
      <c r="B206" s="209" t="str">
        <f t="shared" si="5"/>
        <v xml:space="preserve"> </v>
      </c>
      <c r="C206" s="391"/>
      <c r="D206" s="153"/>
      <c r="E206" s="153"/>
      <c r="F206" s="153"/>
      <c r="G206" s="153"/>
      <c r="H206" s="153"/>
      <c r="I206" s="153"/>
      <c r="J206" s="153"/>
      <c r="K206" s="153"/>
      <c r="L206" s="154"/>
      <c r="M206" s="130"/>
      <c r="N206" s="130"/>
    </row>
    <row r="207" spans="1:16" ht="13" x14ac:dyDescent="0.25">
      <c r="B207" s="97"/>
      <c r="C207" s="130"/>
      <c r="D207" s="130"/>
      <c r="E207" s="130"/>
      <c r="F207" s="130"/>
      <c r="G207" s="130"/>
      <c r="H207" s="130"/>
      <c r="I207" s="130"/>
      <c r="J207" s="130"/>
      <c r="K207" s="130"/>
      <c r="L207" s="130"/>
      <c r="M207" s="130"/>
      <c r="N207" s="130"/>
      <c r="O207" s="130"/>
    </row>
    <row r="208" spans="1:16" x14ac:dyDescent="0.25">
      <c r="C208" s="10"/>
      <c r="D208" s="10"/>
      <c r="E208" s="10"/>
      <c r="F208" s="10"/>
      <c r="G208" s="10"/>
      <c r="H208" s="10"/>
      <c r="I208" s="10"/>
      <c r="J208" s="10"/>
      <c r="K208" s="10"/>
      <c r="L208" s="10"/>
      <c r="M208" s="10"/>
    </row>
    <row r="209" spans="2:13" s="179" customFormat="1" ht="15.5" x14ac:dyDescent="0.35">
      <c r="B209" s="180" t="s">
        <v>144</v>
      </c>
      <c r="C209" s="212"/>
      <c r="E209" s="198"/>
      <c r="F209" s="198"/>
      <c r="G209" s="198"/>
      <c r="H209" s="198"/>
      <c r="I209" s="198"/>
      <c r="J209" s="198"/>
      <c r="K209" s="198"/>
      <c r="L209" s="198"/>
      <c r="M209" s="198"/>
    </row>
    <row r="210" spans="2:13" ht="15.5" x14ac:dyDescent="0.35">
      <c r="B210" s="754" t="s">
        <v>896</v>
      </c>
      <c r="C210" s="5"/>
      <c r="E210" s="10"/>
      <c r="F210" s="10"/>
      <c r="G210" s="10"/>
      <c r="H210" s="10"/>
      <c r="I210" s="10"/>
      <c r="J210" s="10"/>
      <c r="K210" s="10"/>
      <c r="L210" s="10"/>
      <c r="M210" s="10"/>
    </row>
    <row r="211" spans="2:13" x14ac:dyDescent="0.25">
      <c r="B211" s="2" t="s">
        <v>145</v>
      </c>
      <c r="C211" s="5"/>
      <c r="D211" s="130"/>
      <c r="E211" s="10"/>
      <c r="F211" s="10"/>
      <c r="G211" s="10"/>
      <c r="H211" s="10"/>
      <c r="I211" s="10"/>
      <c r="J211" s="10"/>
      <c r="K211" s="10"/>
      <c r="L211" s="10"/>
      <c r="M211" s="10"/>
    </row>
    <row r="212" spans="2:13" ht="13.5" thickBot="1" x14ac:dyDescent="0.35">
      <c r="B212" s="316" t="s">
        <v>897</v>
      </c>
      <c r="C212" s="10"/>
      <c r="D212" s="10"/>
      <c r="E212" s="10"/>
      <c r="F212" s="10"/>
      <c r="G212" s="10"/>
      <c r="H212" s="10"/>
      <c r="I212" s="10"/>
      <c r="J212" s="10"/>
      <c r="K212" s="10"/>
      <c r="L212" s="10"/>
      <c r="M212" s="10"/>
    </row>
    <row r="213" spans="2:13" x14ac:dyDescent="0.25">
      <c r="B213" s="1108" t="s">
        <v>898</v>
      </c>
      <c r="C213" s="1109"/>
      <c r="D213" s="1109"/>
      <c r="E213" s="1110"/>
      <c r="F213" s="133"/>
      <c r="G213" s="133"/>
      <c r="H213" s="133"/>
      <c r="I213" s="133"/>
      <c r="J213" s="133"/>
      <c r="K213" s="133"/>
      <c r="L213" s="133"/>
      <c r="M213" s="133"/>
    </row>
    <row r="214" spans="2:13" x14ac:dyDescent="0.25">
      <c r="B214" s="1107"/>
      <c r="C214" s="1111"/>
      <c r="D214" s="1111"/>
      <c r="E214" s="1112"/>
      <c r="F214" s="133"/>
      <c r="G214" s="133"/>
      <c r="H214" s="133"/>
      <c r="I214" s="133"/>
      <c r="J214" s="133"/>
      <c r="K214" s="133"/>
      <c r="L214" s="133"/>
      <c r="M214" s="133"/>
    </row>
    <row r="215" spans="2:13" x14ac:dyDescent="0.25">
      <c r="B215" s="1107"/>
      <c r="C215" s="1111"/>
      <c r="D215" s="1111"/>
      <c r="E215" s="1112"/>
      <c r="F215" s="133"/>
      <c r="G215" s="133"/>
      <c r="H215" s="133"/>
      <c r="I215" s="133"/>
      <c r="J215" s="133"/>
      <c r="K215" s="133"/>
      <c r="L215" s="133"/>
      <c r="M215" s="133"/>
    </row>
    <row r="216" spans="2:13" x14ac:dyDescent="0.25">
      <c r="B216" s="1107"/>
      <c r="C216" s="1111"/>
      <c r="D216" s="1111"/>
      <c r="E216" s="1112"/>
      <c r="F216" s="133"/>
      <c r="G216" s="133"/>
      <c r="H216" s="133"/>
      <c r="I216" s="133"/>
      <c r="J216" s="133"/>
      <c r="K216" s="133"/>
      <c r="L216" s="133"/>
      <c r="M216" s="133"/>
    </row>
    <row r="217" spans="2:13" x14ac:dyDescent="0.25">
      <c r="B217" s="1107"/>
      <c r="C217" s="1111"/>
      <c r="D217" s="1111"/>
      <c r="E217" s="1112"/>
      <c r="F217" s="133"/>
      <c r="G217" s="133"/>
      <c r="H217" s="133"/>
      <c r="I217" s="133"/>
      <c r="J217" s="133"/>
      <c r="K217" s="133"/>
      <c r="L217" s="133"/>
      <c r="M217" s="133"/>
    </row>
    <row r="218" spans="2:13" x14ac:dyDescent="0.25">
      <c r="B218" s="1107"/>
      <c r="C218" s="1111"/>
      <c r="D218" s="1111"/>
      <c r="E218" s="1112"/>
      <c r="F218" s="133"/>
      <c r="G218" s="133"/>
      <c r="H218" s="133"/>
      <c r="I218" s="133"/>
      <c r="J218" s="133"/>
      <c r="K218" s="133"/>
      <c r="L218" s="133"/>
      <c r="M218" s="133"/>
    </row>
    <row r="219" spans="2:13" x14ac:dyDescent="0.25">
      <c r="B219" s="1107"/>
      <c r="C219" s="1111"/>
      <c r="D219" s="1111"/>
      <c r="E219" s="1112"/>
      <c r="F219" s="133"/>
      <c r="G219" s="133"/>
      <c r="H219" s="133"/>
      <c r="I219" s="133"/>
      <c r="J219" s="133"/>
      <c r="K219" s="133"/>
      <c r="L219" s="133"/>
      <c r="M219" s="133"/>
    </row>
    <row r="220" spans="2:13" x14ac:dyDescent="0.25">
      <c r="B220" s="1107"/>
      <c r="C220" s="1111"/>
      <c r="D220" s="1111"/>
      <c r="E220" s="1112"/>
      <c r="F220" s="133"/>
      <c r="G220" s="133"/>
      <c r="H220" s="133"/>
      <c r="I220" s="133"/>
      <c r="J220" s="133"/>
      <c r="K220" s="133"/>
      <c r="L220" s="133"/>
      <c r="M220" s="133"/>
    </row>
    <row r="221" spans="2:13" x14ac:dyDescent="0.25">
      <c r="B221" s="1107"/>
      <c r="C221" s="1111"/>
      <c r="D221" s="1111"/>
      <c r="E221" s="1112"/>
      <c r="F221" s="133"/>
      <c r="G221" s="133"/>
      <c r="H221" s="133"/>
      <c r="I221" s="133"/>
      <c r="J221" s="133"/>
      <c r="K221" s="133"/>
      <c r="L221" s="133"/>
      <c r="M221" s="133"/>
    </row>
    <row r="222" spans="2:13" ht="13" thickBot="1" x14ac:dyDescent="0.3">
      <c r="B222" s="1113"/>
      <c r="C222" s="1114"/>
      <c r="D222" s="1114"/>
      <c r="E222" s="1115"/>
    </row>
    <row r="224" spans="2:13" s="179" customFormat="1" ht="15.5" x14ac:dyDescent="0.35">
      <c r="B224" s="180" t="s">
        <v>146</v>
      </c>
      <c r="C224" s="213"/>
      <c r="D224" s="213"/>
      <c r="E224" s="213"/>
      <c r="F224" s="182"/>
    </row>
    <row r="225" spans="2:18" ht="15.5" x14ac:dyDescent="0.35">
      <c r="B225" s="754" t="s">
        <v>899</v>
      </c>
      <c r="C225" s="890"/>
      <c r="D225" s="890"/>
      <c r="E225" s="890"/>
      <c r="F225" s="3"/>
    </row>
    <row r="226" spans="2:18" ht="13" x14ac:dyDescent="0.3">
      <c r="B226" s="125"/>
      <c r="F226" s="3"/>
    </row>
    <row r="227" spans="2:18" ht="12" customHeight="1" x14ac:dyDescent="0.4">
      <c r="B227" s="1197" t="s">
        <v>147</v>
      </c>
      <c r="C227" s="1197"/>
      <c r="D227" s="1197"/>
      <c r="E227" s="1197"/>
      <c r="F227" s="1197"/>
    </row>
    <row r="228" spans="2:18" ht="12" customHeight="1" x14ac:dyDescent="0.3">
      <c r="B228" s="107" t="s">
        <v>900</v>
      </c>
      <c r="C228" s="706"/>
      <c r="D228" s="706"/>
      <c r="E228" s="706"/>
      <c r="F228" s="706"/>
    </row>
    <row r="229" spans="2:18" ht="41" customHeight="1" x14ac:dyDescent="0.3">
      <c r="B229" s="1136" t="s">
        <v>148</v>
      </c>
      <c r="C229" s="1136"/>
      <c r="D229" s="1136"/>
      <c r="E229" s="1136"/>
      <c r="F229" s="706"/>
    </row>
    <row r="230" spans="2:18" ht="31" customHeight="1" thickBot="1" x14ac:dyDescent="0.3">
      <c r="B230" s="1141" t="s">
        <v>901</v>
      </c>
      <c r="C230" s="1141"/>
      <c r="D230" s="1141"/>
      <c r="E230" s="1141"/>
      <c r="F230" s="186"/>
    </row>
    <row r="231" spans="2:18" ht="39.5" thickBot="1" x14ac:dyDescent="0.4">
      <c r="B231" s="157" t="s">
        <v>902</v>
      </c>
      <c r="C231" s="348" t="s">
        <v>1005</v>
      </c>
      <c r="D231" s="175" t="s">
        <v>85</v>
      </c>
      <c r="E231" s="175" t="s">
        <v>86</v>
      </c>
      <c r="F231" s="176" t="s">
        <v>150</v>
      </c>
      <c r="I231" s="998" t="s">
        <v>1003</v>
      </c>
      <c r="J231" s="335"/>
      <c r="K231" s="1142" t="s">
        <v>1002</v>
      </c>
      <c r="L231" s="1143"/>
      <c r="M231" s="1143"/>
      <c r="N231" s="1143"/>
      <c r="O231" s="1144"/>
      <c r="P231"/>
      <c r="Q231"/>
      <c r="R231"/>
    </row>
    <row r="232" spans="2:18" ht="15.5" x14ac:dyDescent="0.35">
      <c r="B232" s="997"/>
      <c r="C232" s="648"/>
      <c r="D232" s="475"/>
      <c r="E232" s="644">
        <f>IF(ISBLANK(C232),0,VLOOKUP(C232,'XIV. Tablas de referencia'!$B$213:$C$218,2,FALSE))</f>
        <v>0</v>
      </c>
      <c r="F232" s="548">
        <f>IF(ISBLANK(B232), 0, VLOOKUP(B232,'XIV. Tablas de referencia'!$B$153:$E$203,4, FALSE))</f>
        <v>0</v>
      </c>
      <c r="I232" s="354" t="s">
        <v>982</v>
      </c>
      <c r="J232" s="336"/>
      <c r="K232" s="360" t="s">
        <v>996</v>
      </c>
      <c r="L232" s="357"/>
      <c r="M232" s="357"/>
      <c r="N232" s="358"/>
      <c r="O232" s="999"/>
      <c r="P232"/>
      <c r="Q232"/>
      <c r="R232"/>
    </row>
    <row r="233" spans="2:18" ht="25" x14ac:dyDescent="0.35">
      <c r="B233" s="997"/>
      <c r="C233" s="648"/>
      <c r="D233" s="648"/>
      <c r="E233" s="644">
        <f>IF(ISBLANK(C233),0,VLOOKUP(C233,'XIV. Tablas de referencia'!$B$214:$C$219,2,FALSE))</f>
        <v>0</v>
      </c>
      <c r="F233" s="548">
        <f>IF(ISBLANK(B233), 0, VLOOKUP(B233,'XIV. Tablas de referencia'!$B$169:$E$203,4, FALSE))</f>
        <v>0</v>
      </c>
      <c r="I233" s="355" t="s">
        <v>983</v>
      </c>
      <c r="J233" s="337"/>
      <c r="K233" s="361" t="s">
        <v>997</v>
      </c>
      <c r="L233" s="334"/>
      <c r="M233" s="334"/>
      <c r="O233" s="359"/>
      <c r="P233"/>
      <c r="Q233"/>
      <c r="R233"/>
    </row>
    <row r="234" spans="2:18" ht="15.5" x14ac:dyDescent="0.35">
      <c r="B234" s="997"/>
      <c r="C234" s="648"/>
      <c r="D234" s="648"/>
      <c r="E234" s="644">
        <f>IF(ISBLANK(C234),0,VLOOKUP(C234,'XIV. Tablas de referencia'!$B$214:$C$220,2,FALSE))</f>
        <v>0</v>
      </c>
      <c r="F234" s="548">
        <f>IF(ISBLANK(B234), 0, VLOOKUP(B234,'XIV. Tablas de referencia'!$B$169:$E$203,4, FALSE))</f>
        <v>0</v>
      </c>
      <c r="I234" s="355" t="s">
        <v>984</v>
      </c>
      <c r="J234" s="337"/>
      <c r="K234" s="361" t="s">
        <v>998</v>
      </c>
      <c r="L234" s="334"/>
      <c r="M234" s="334"/>
      <c r="N234" s="22"/>
      <c r="O234" s="359"/>
      <c r="P234"/>
      <c r="Q234"/>
      <c r="R234"/>
    </row>
    <row r="235" spans="2:18" ht="16" thickBot="1" x14ac:dyDescent="0.4">
      <c r="B235" s="997"/>
      <c r="C235" s="648"/>
      <c r="D235" s="648"/>
      <c r="E235" s="533">
        <f>IF(ISBLANK(C235),0,VLOOKUP(C235,'XIV. Tablas de referencia'!$B$215:$C$220,2,FALSE))</f>
        <v>0</v>
      </c>
      <c r="F235" s="536">
        <f>IF(ISBLANK(B235), 0, VLOOKUP(B235,'XIV. Tablas de referencia'!$B$169:$E$203,4, FALSE))</f>
        <v>0</v>
      </c>
      <c r="I235" s="355" t="s">
        <v>985</v>
      </c>
      <c r="J235" s="337"/>
      <c r="K235" s="361" t="s">
        <v>999</v>
      </c>
      <c r="L235" s="334"/>
      <c r="M235" s="334"/>
      <c r="N235" s="10"/>
      <c r="O235" s="1000"/>
      <c r="P235"/>
      <c r="Q235"/>
      <c r="R235"/>
    </row>
    <row r="236" spans="2:18" ht="39" x14ac:dyDescent="0.35">
      <c r="B236" s="157" t="s">
        <v>902</v>
      </c>
      <c r="C236" s="348" t="s">
        <v>906</v>
      </c>
      <c r="D236" s="175" t="s">
        <v>88</v>
      </c>
      <c r="E236" s="176" t="s">
        <v>89</v>
      </c>
      <c r="I236" s="355" t="s">
        <v>728</v>
      </c>
      <c r="J236" s="337"/>
      <c r="K236" s="361" t="s">
        <v>1000</v>
      </c>
      <c r="L236" s="334"/>
      <c r="M236" s="334"/>
      <c r="N236" s="10"/>
      <c r="O236" s="359"/>
      <c r="P236"/>
      <c r="Q236"/>
      <c r="R236"/>
    </row>
    <row r="237" spans="2:18" ht="25.5" thickBot="1" x14ac:dyDescent="0.4">
      <c r="B237" s="997"/>
      <c r="C237" s="648"/>
      <c r="D237" s="649"/>
      <c r="E237" s="476"/>
      <c r="F237" s="10"/>
      <c r="I237" s="355" t="s">
        <v>986</v>
      </c>
      <c r="J237" s="337"/>
      <c r="K237" s="362" t="s">
        <v>1001</v>
      </c>
      <c r="L237" s="363"/>
      <c r="M237" s="363"/>
      <c r="N237" s="364"/>
      <c r="O237" s="365"/>
      <c r="P237"/>
      <c r="Q237"/>
      <c r="R237"/>
    </row>
    <row r="238" spans="2:18" ht="37.5" x14ac:dyDescent="0.35">
      <c r="B238" s="997"/>
      <c r="C238" s="648"/>
      <c r="D238" s="477"/>
      <c r="E238" s="550"/>
      <c r="F238" s="10"/>
      <c r="I238" s="355" t="s">
        <v>987</v>
      </c>
      <c r="J238" s="337"/>
      <c r="K238"/>
      <c r="L238"/>
      <c r="M238"/>
      <c r="N238"/>
      <c r="O238"/>
      <c r="P238"/>
      <c r="Q238"/>
      <c r="R238"/>
    </row>
    <row r="239" spans="2:18" ht="15.5" x14ac:dyDescent="0.35">
      <c r="B239" s="997"/>
      <c r="C239" s="648"/>
      <c r="D239" s="477"/>
      <c r="E239" s="550"/>
      <c r="F239" s="10"/>
      <c r="I239" s="355" t="s">
        <v>988</v>
      </c>
      <c r="J239" s="337"/>
      <c r="K239"/>
      <c r="L239"/>
      <c r="M239"/>
      <c r="N239"/>
      <c r="O239"/>
      <c r="P239"/>
      <c r="Q239"/>
      <c r="R239"/>
    </row>
    <row r="240" spans="2:18" ht="15.5" x14ac:dyDescent="0.35">
      <c r="B240" s="997"/>
      <c r="C240" s="648"/>
      <c r="D240" s="477"/>
      <c r="E240" s="550"/>
      <c r="F240" s="10"/>
      <c r="I240" s="355" t="s">
        <v>989</v>
      </c>
      <c r="J240" s="337"/>
      <c r="K240"/>
      <c r="L240"/>
      <c r="M240"/>
      <c r="N240"/>
      <c r="O240"/>
      <c r="P240"/>
      <c r="Q240"/>
      <c r="R240"/>
    </row>
    <row r="241" spans="2:18" ht="25.5" thickBot="1" x14ac:dyDescent="0.4">
      <c r="B241" s="997"/>
      <c r="C241" s="549"/>
      <c r="D241" s="551"/>
      <c r="E241" s="552"/>
      <c r="F241" s="10"/>
      <c r="I241" s="355" t="s">
        <v>990</v>
      </c>
      <c r="J241" s="337"/>
      <c r="K241"/>
      <c r="L241"/>
      <c r="M241"/>
      <c r="N241"/>
      <c r="O241"/>
      <c r="P241"/>
      <c r="Q241"/>
      <c r="R241"/>
    </row>
    <row r="242" spans="2:18" ht="96" customHeight="1" x14ac:dyDescent="0.35">
      <c r="B242" s="1198" t="s">
        <v>1004</v>
      </c>
      <c r="C242" s="1198"/>
      <c r="D242" s="1198"/>
      <c r="E242" s="1198"/>
      <c r="F242" s="3"/>
      <c r="I242" s="355" t="s">
        <v>991</v>
      </c>
      <c r="J242" s="337"/>
      <c r="K242"/>
      <c r="L242"/>
      <c r="M242"/>
      <c r="N242"/>
      <c r="O242"/>
      <c r="P242"/>
      <c r="Q242"/>
      <c r="R242"/>
    </row>
    <row r="243" spans="2:18" ht="10.5" customHeight="1" x14ac:dyDescent="0.35">
      <c r="F243" s="3"/>
      <c r="I243" s="355" t="s">
        <v>992</v>
      </c>
      <c r="J243" s="337"/>
      <c r="K243"/>
      <c r="L243"/>
      <c r="M243"/>
      <c r="N243"/>
      <c r="O243"/>
      <c r="P243"/>
      <c r="Q243"/>
      <c r="R243"/>
    </row>
    <row r="244" spans="2:18" ht="12" customHeight="1" x14ac:dyDescent="0.4">
      <c r="B244" s="1197" t="s">
        <v>151</v>
      </c>
      <c r="C244" s="1197"/>
      <c r="D244" s="1197"/>
      <c r="E244" s="1197"/>
      <c r="F244" s="1197"/>
      <c r="I244" s="355" t="s">
        <v>993</v>
      </c>
      <c r="J244" s="337"/>
      <c r="K244"/>
      <c r="L244"/>
      <c r="M244"/>
      <c r="N244"/>
      <c r="O244"/>
      <c r="P244"/>
      <c r="Q244"/>
      <c r="R244"/>
    </row>
    <row r="245" spans="2:18" ht="12" customHeight="1" x14ac:dyDescent="0.35">
      <c r="B245" s="107" t="s">
        <v>903</v>
      </c>
      <c r="C245" s="706"/>
      <c r="D245" s="706"/>
      <c r="E245" s="706"/>
      <c r="F245" s="706"/>
      <c r="I245" s="355" t="s">
        <v>995</v>
      </c>
      <c r="K245"/>
      <c r="L245"/>
      <c r="M245"/>
      <c r="N245"/>
      <c r="O245"/>
      <c r="P245"/>
      <c r="Q245"/>
      <c r="R245"/>
    </row>
    <row r="246" spans="2:18" ht="129" customHeight="1" thickBot="1" x14ac:dyDescent="0.4">
      <c r="B246" s="1097" t="s">
        <v>1007</v>
      </c>
      <c r="C246" s="1097"/>
      <c r="D246" s="1097"/>
      <c r="E246" s="1097"/>
      <c r="F246" s="20"/>
      <c r="I246" s="356" t="s">
        <v>994</v>
      </c>
      <c r="J246" s="337"/>
      <c r="K246"/>
      <c r="L246"/>
      <c r="M246"/>
      <c r="N246"/>
      <c r="O246"/>
      <c r="P246"/>
      <c r="Q246"/>
      <c r="R246"/>
    </row>
    <row r="247" spans="2:18" ht="39.5" thickBot="1" x14ac:dyDescent="0.4">
      <c r="B247" s="894" t="s">
        <v>904</v>
      </c>
      <c r="C247" s="443" t="s">
        <v>1006</v>
      </c>
      <c r="D247" s="425" t="s">
        <v>85</v>
      </c>
      <c r="E247" s="425" t="s">
        <v>86</v>
      </c>
      <c r="F247" s="895" t="s">
        <v>89</v>
      </c>
      <c r="I247"/>
      <c r="J247" s="337"/>
      <c r="K247"/>
      <c r="L247"/>
      <c r="M247"/>
      <c r="N247"/>
      <c r="O247"/>
      <c r="P247"/>
      <c r="Q247"/>
      <c r="R247"/>
    </row>
    <row r="248" spans="2:18" ht="15.5" x14ac:dyDescent="0.35">
      <c r="B248" s="1004"/>
      <c r="C248" s="475"/>
      <c r="D248" s="495"/>
      <c r="E248" s="1005"/>
      <c r="F248" s="1009">
        <f>IF(ISBLANK(C248), 0, VLOOKUP(C248,'XIV. Tablas de referencia'!$B$181:$E$203,4, FALSE))</f>
        <v>0</v>
      </c>
      <c r="I248" s="10"/>
      <c r="J248" s="10"/>
      <c r="K248"/>
      <c r="L248"/>
      <c r="M248"/>
      <c r="N248"/>
      <c r="O248"/>
      <c r="P248"/>
      <c r="Q248"/>
      <c r="R248"/>
    </row>
    <row r="249" spans="2:18" ht="15.5" x14ac:dyDescent="0.35">
      <c r="B249" s="1010"/>
      <c r="C249" s="475"/>
      <c r="D249" s="1011"/>
      <c r="E249" s="1012"/>
      <c r="F249" s="1013">
        <f>IF(ISBLANK(C249), 0, VLOOKUP(C249,'XIV. Tablas de referencia'!$B$181:$E$203,4, FALSE))</f>
        <v>0</v>
      </c>
      <c r="I249" s="22"/>
      <c r="J249" s="22"/>
      <c r="K249"/>
      <c r="L249"/>
      <c r="M249"/>
      <c r="N249"/>
      <c r="O249"/>
      <c r="P249"/>
      <c r="Q249"/>
      <c r="R249"/>
    </row>
    <row r="250" spans="2:18" ht="13.5" thickBot="1" x14ac:dyDescent="0.3">
      <c r="B250" s="1014"/>
      <c r="C250" s="1015"/>
      <c r="D250" s="1016"/>
      <c r="E250" s="1017"/>
      <c r="F250" s="1018">
        <f>IF(ISBLANK(C250), 0, VLOOKUP(C250,'XIV. Tablas de referencia'!$B$181:$E$203,4, FALSE))</f>
        <v>0</v>
      </c>
    </row>
    <row r="251" spans="2:18" ht="39.5" thickBot="1" x14ac:dyDescent="0.3">
      <c r="B251" s="1006" t="s">
        <v>904</v>
      </c>
      <c r="C251" s="893" t="s">
        <v>905</v>
      </c>
      <c r="D251" s="1007" t="s">
        <v>92</v>
      </c>
      <c r="E251" s="1008" t="s">
        <v>93</v>
      </c>
      <c r="F251" s="1003" t="s">
        <v>89</v>
      </c>
    </row>
    <row r="252" spans="2:18" ht="13.5" thickBot="1" x14ac:dyDescent="0.3">
      <c r="B252" s="500"/>
      <c r="C252" s="498"/>
      <c r="D252" s="501"/>
      <c r="E252" s="499">
        <f>IF(ISBLANK(C252),0,'XIV. Tablas de referencia'!C218)</f>
        <v>0</v>
      </c>
      <c r="F252" s="484">
        <f>IF(ISBLANK(C252), 0, VLOOKUP(C252,'XIV. Tablas de referencia'!$B$181:$E$203,4, FALSE))</f>
        <v>0</v>
      </c>
    </row>
    <row r="253" spans="2:18" ht="39.5" thickBot="1" x14ac:dyDescent="0.3">
      <c r="B253" s="894" t="s">
        <v>904</v>
      </c>
      <c r="C253" s="443" t="s">
        <v>906</v>
      </c>
      <c r="D253" s="425" t="s">
        <v>88</v>
      </c>
      <c r="E253" s="895" t="s">
        <v>89</v>
      </c>
      <c r="F253" s="3"/>
    </row>
    <row r="254" spans="2:18" x14ac:dyDescent="0.25">
      <c r="B254" s="496"/>
      <c r="C254" s="475"/>
      <c r="D254" s="475"/>
      <c r="E254" s="497"/>
      <c r="F254" s="3"/>
    </row>
    <row r="255" spans="2:18" x14ac:dyDescent="0.25">
      <c r="B255" s="569"/>
      <c r="C255" s="648"/>
      <c r="D255" s="648"/>
      <c r="E255" s="663"/>
      <c r="F255" s="3"/>
    </row>
    <row r="256" spans="2:18" x14ac:dyDescent="0.25">
      <c r="B256" s="569"/>
      <c r="C256" s="648"/>
      <c r="D256" s="648"/>
      <c r="E256" s="663"/>
      <c r="F256" s="3"/>
    </row>
    <row r="257" spans="1:41" x14ac:dyDescent="0.25">
      <c r="B257" s="569"/>
      <c r="C257" s="648"/>
      <c r="D257" s="648"/>
      <c r="E257" s="663"/>
      <c r="F257" s="3"/>
    </row>
    <row r="258" spans="1:41" ht="13" thickBot="1" x14ac:dyDescent="0.3">
      <c r="B258" s="570"/>
      <c r="C258" s="549"/>
      <c r="D258" s="549"/>
      <c r="E258" s="571"/>
      <c r="F258" s="3"/>
    </row>
    <row r="259" spans="1:41" ht="91.5" customHeight="1" x14ac:dyDescent="0.3">
      <c r="B259" s="1146" t="s">
        <v>1008</v>
      </c>
      <c r="C259" s="1146"/>
      <c r="D259" s="1146"/>
      <c r="E259" s="1146"/>
      <c r="F259" s="8"/>
    </row>
    <row r="260" spans="1:41" ht="13" x14ac:dyDescent="0.3">
      <c r="B260" s="222"/>
      <c r="C260" s="222"/>
      <c r="D260" s="222"/>
      <c r="E260" s="222"/>
      <c r="F260" s="8"/>
    </row>
    <row r="261" spans="1:41" ht="13" x14ac:dyDescent="0.3">
      <c r="B261" s="1196" t="s">
        <v>152</v>
      </c>
      <c r="C261" s="1196"/>
      <c r="D261" s="1196"/>
      <c r="E261" s="1196"/>
      <c r="F261" s="8"/>
    </row>
    <row r="262" spans="1:41" ht="13" x14ac:dyDescent="0.3">
      <c r="B262" s="107" t="s">
        <v>907</v>
      </c>
      <c r="C262" s="13"/>
      <c r="D262" s="13"/>
      <c r="E262" s="13"/>
      <c r="F262" s="8"/>
    </row>
    <row r="263" spans="1:41" ht="52.5" customHeight="1" x14ac:dyDescent="0.3">
      <c r="B263" s="1136" t="s">
        <v>908</v>
      </c>
      <c r="C263" s="1136"/>
      <c r="D263" s="1136"/>
      <c r="E263" s="1136"/>
      <c r="F263" s="178"/>
      <c r="G263" s="10"/>
      <c r="H263" s="10"/>
      <c r="I263" s="10"/>
      <c r="J263" s="10"/>
      <c r="K263" s="10"/>
      <c r="L263" s="10"/>
      <c r="M263" s="10"/>
    </row>
    <row r="264" spans="1:41" ht="32" customHeight="1" x14ac:dyDescent="0.25">
      <c r="B264" s="896" t="s">
        <v>796</v>
      </c>
      <c r="C264" s="897" t="s">
        <v>97</v>
      </c>
      <c r="D264" s="897" t="s">
        <v>98</v>
      </c>
      <c r="F264" s="3"/>
      <c r="G264" s="10"/>
      <c r="H264" s="10"/>
      <c r="I264" s="10"/>
      <c r="J264" s="10"/>
      <c r="K264" s="10"/>
      <c r="L264" s="10"/>
      <c r="M264" s="10"/>
    </row>
    <row r="265" spans="1:41" s="49" customFormat="1" x14ac:dyDescent="0.25">
      <c r="A265" s="2"/>
      <c r="B265" s="651" t="s">
        <v>99</v>
      </c>
      <c r="C265" s="664"/>
      <c r="D265" s="653"/>
      <c r="E265" s="2"/>
      <c r="F265" s="3"/>
      <c r="G265" s="10"/>
      <c r="H265" s="10"/>
      <c r="I265" s="10"/>
      <c r="J265" s="10"/>
      <c r="K265" s="10"/>
      <c r="L265" s="10"/>
      <c r="M265" s="10"/>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s="49" customFormat="1" ht="85" customHeight="1" x14ac:dyDescent="0.3">
      <c r="A266" s="2"/>
      <c r="B266" s="1096" t="s">
        <v>1009</v>
      </c>
      <c r="C266" s="1096"/>
      <c r="D266" s="1096"/>
      <c r="E266" s="1096"/>
      <c r="F266" s="3"/>
      <c r="G266" s="10"/>
      <c r="H266" s="10"/>
      <c r="I266" s="10"/>
      <c r="J266" s="10"/>
      <c r="K266" s="10"/>
      <c r="L266" s="10"/>
      <c r="M266" s="10"/>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8" spans="1:41" ht="13" x14ac:dyDescent="0.3">
      <c r="B268" s="9" t="s">
        <v>153</v>
      </c>
    </row>
    <row r="269" spans="1:41" ht="13" x14ac:dyDescent="0.3">
      <c r="B269" s="891" t="s">
        <v>909</v>
      </c>
    </row>
    <row r="270" spans="1:41" ht="99.5" customHeight="1" thickBot="1" x14ac:dyDescent="0.3">
      <c r="B270" s="1136" t="s">
        <v>910</v>
      </c>
      <c r="C270" s="1136"/>
      <c r="D270" s="1136"/>
      <c r="E270" s="1136"/>
    </row>
    <row r="271" spans="1:41" ht="26" x14ac:dyDescent="0.25">
      <c r="B271" s="157" t="s">
        <v>911</v>
      </c>
      <c r="C271" s="898" t="s">
        <v>912</v>
      </c>
    </row>
    <row r="272" spans="1:41" x14ac:dyDescent="0.25">
      <c r="B272" s="572"/>
      <c r="C272" s="647"/>
    </row>
    <row r="273" spans="2:5" x14ac:dyDescent="0.25">
      <c r="B273" s="572"/>
      <c r="C273" s="647"/>
    </row>
    <row r="274" spans="2:5" x14ac:dyDescent="0.25">
      <c r="B274" s="572"/>
      <c r="C274" s="647"/>
    </row>
    <row r="275" spans="2:5" x14ac:dyDescent="0.25">
      <c r="B275" s="572"/>
      <c r="C275" s="647"/>
    </row>
    <row r="276" spans="2:5" ht="13" thickBot="1" x14ac:dyDescent="0.3">
      <c r="B276" s="573"/>
      <c r="C276" s="542"/>
    </row>
    <row r="277" spans="2:5" ht="13.5" thickBot="1" x14ac:dyDescent="0.35">
      <c r="B277" s="214" t="s">
        <v>154</v>
      </c>
      <c r="C277" s="215">
        <f>SUM(C272:C276)</f>
        <v>0</v>
      </c>
    </row>
    <row r="278" spans="2:5" ht="13" thickBot="1" x14ac:dyDescent="0.3"/>
    <row r="279" spans="2:5" x14ac:dyDescent="0.25">
      <c r="B279" s="1108" t="s">
        <v>852</v>
      </c>
      <c r="C279" s="1109"/>
      <c r="D279" s="1109"/>
      <c r="E279" s="1110"/>
    </row>
    <row r="280" spans="2:5" x14ac:dyDescent="0.25">
      <c r="B280" s="1107"/>
      <c r="C280" s="1111"/>
      <c r="D280" s="1111"/>
      <c r="E280" s="1112"/>
    </row>
    <row r="281" spans="2:5" x14ac:dyDescent="0.25">
      <c r="B281" s="1107"/>
      <c r="C281" s="1111"/>
      <c r="D281" s="1111"/>
      <c r="E281" s="1112"/>
    </row>
    <row r="282" spans="2:5" x14ac:dyDescent="0.25">
      <c r="B282" s="1107"/>
      <c r="C282" s="1111"/>
      <c r="D282" s="1111"/>
      <c r="E282" s="1112"/>
    </row>
    <row r="283" spans="2:5" x14ac:dyDescent="0.25">
      <c r="B283" s="1107"/>
      <c r="C283" s="1111"/>
      <c r="D283" s="1111"/>
      <c r="E283" s="1112"/>
    </row>
    <row r="284" spans="2:5" x14ac:dyDescent="0.25">
      <c r="B284" s="1107"/>
      <c r="C284" s="1111"/>
      <c r="D284" s="1111"/>
      <c r="E284" s="1112"/>
    </row>
    <row r="285" spans="2:5" x14ac:dyDescent="0.25">
      <c r="B285" s="1107"/>
      <c r="C285" s="1111"/>
      <c r="D285" s="1111"/>
      <c r="E285" s="1112"/>
    </row>
    <row r="286" spans="2:5" x14ac:dyDescent="0.25">
      <c r="B286" s="1107"/>
      <c r="C286" s="1111"/>
      <c r="D286" s="1111"/>
      <c r="E286" s="1112"/>
    </row>
    <row r="287" spans="2:5" x14ac:dyDescent="0.25">
      <c r="B287" s="1107"/>
      <c r="C287" s="1111"/>
      <c r="D287" s="1111"/>
      <c r="E287" s="1112"/>
    </row>
    <row r="288" spans="2:5" x14ac:dyDescent="0.25">
      <c r="B288" s="1107"/>
      <c r="C288" s="1111"/>
      <c r="D288" s="1111"/>
      <c r="E288" s="1112"/>
    </row>
    <row r="289" spans="2:5" x14ac:dyDescent="0.25">
      <c r="B289" s="1107"/>
      <c r="C289" s="1111"/>
      <c r="D289" s="1111"/>
      <c r="E289" s="1112"/>
    </row>
    <row r="290" spans="2:5" x14ac:dyDescent="0.25">
      <c r="B290" s="1107"/>
      <c r="C290" s="1111"/>
      <c r="D290" s="1111"/>
      <c r="E290" s="1112"/>
    </row>
    <row r="291" spans="2:5" x14ac:dyDescent="0.25">
      <c r="B291" s="1107"/>
      <c r="C291" s="1111"/>
      <c r="D291" s="1111"/>
      <c r="E291" s="1112"/>
    </row>
    <row r="292" spans="2:5" x14ac:dyDescent="0.25">
      <c r="B292" s="1107"/>
      <c r="C292" s="1111"/>
      <c r="D292" s="1111"/>
      <c r="E292" s="1112"/>
    </row>
    <row r="293" spans="2:5" x14ac:dyDescent="0.25">
      <c r="B293" s="1107"/>
      <c r="C293" s="1111"/>
      <c r="D293" s="1111"/>
      <c r="E293" s="1112"/>
    </row>
    <row r="294" spans="2:5" x14ac:dyDescent="0.25">
      <c r="B294" s="1107"/>
      <c r="C294" s="1111"/>
      <c r="D294" s="1111"/>
      <c r="E294" s="1112"/>
    </row>
    <row r="295" spans="2:5" x14ac:dyDescent="0.25">
      <c r="B295" s="1107"/>
      <c r="C295" s="1111"/>
      <c r="D295" s="1111"/>
      <c r="E295" s="1112"/>
    </row>
    <row r="296" spans="2:5" x14ac:dyDescent="0.25">
      <c r="B296" s="1107"/>
      <c r="C296" s="1111"/>
      <c r="D296" s="1111"/>
      <c r="E296" s="1112"/>
    </row>
    <row r="297" spans="2:5" x14ac:dyDescent="0.25">
      <c r="B297" s="1107"/>
      <c r="C297" s="1111"/>
      <c r="D297" s="1111"/>
      <c r="E297" s="1112"/>
    </row>
    <row r="298" spans="2:5" ht="13" thickBot="1" x14ac:dyDescent="0.3">
      <c r="B298" s="1113"/>
      <c r="C298" s="1114"/>
      <c r="D298" s="1114"/>
      <c r="E298" s="1115"/>
    </row>
  </sheetData>
  <sheetProtection algorithmName="SHA-512" hashValue="bmAJhPMAHFQT/l7TeYMH7gnU4vWygDMahTVRYiJCiNjJzolUiZKjc6WKV8bQEV/nG2+JES64Ka9sQc9DIZDI0A==" saltValue="/syuaCS5VJaWC2sgrfzakA==" spinCount="100000" sheet="1" objects="1" scenarios="1"/>
  <mergeCells count="89">
    <mergeCell ref="C4:F4"/>
    <mergeCell ref="C5:F5"/>
    <mergeCell ref="C6:F6"/>
    <mergeCell ref="C7:F7"/>
    <mergeCell ref="C8:F8"/>
    <mergeCell ref="B129:E129"/>
    <mergeCell ref="B171:F171"/>
    <mergeCell ref="B108:D108"/>
    <mergeCell ref="B82:D82"/>
    <mergeCell ref="B85:C85"/>
    <mergeCell ref="B86:D86"/>
    <mergeCell ref="B106:D106"/>
    <mergeCell ref="B102:G102"/>
    <mergeCell ref="E110:F122"/>
    <mergeCell ref="B128:E128"/>
    <mergeCell ref="G132:K140"/>
    <mergeCell ref="B146:F146"/>
    <mergeCell ref="B124:G124"/>
    <mergeCell ref="H147:L162"/>
    <mergeCell ref="B160:C160"/>
    <mergeCell ref="D160:E160"/>
    <mergeCell ref="B165:G165"/>
    <mergeCell ref="B166:G166"/>
    <mergeCell ref="B170:F170"/>
    <mergeCell ref="B190:L190"/>
    <mergeCell ref="B173:C173"/>
    <mergeCell ref="B174:C174"/>
    <mergeCell ref="B175:C175"/>
    <mergeCell ref="H170:L186"/>
    <mergeCell ref="B182:C182"/>
    <mergeCell ref="B183:C183"/>
    <mergeCell ref="B184:C184"/>
    <mergeCell ref="B185:C185"/>
    <mergeCell ref="B176:C176"/>
    <mergeCell ref="B177:C177"/>
    <mergeCell ref="B178:C178"/>
    <mergeCell ref="D173:E173"/>
    <mergeCell ref="F162:G162"/>
    <mergeCell ref="B164:G164"/>
    <mergeCell ref="B270:E270"/>
    <mergeCell ref="B279:E298"/>
    <mergeCell ref="B213:E222"/>
    <mergeCell ref="B229:E229"/>
    <mergeCell ref="B246:E246"/>
    <mergeCell ref="B261:E261"/>
    <mergeCell ref="B230:E230"/>
    <mergeCell ref="B266:E266"/>
    <mergeCell ref="B227:F227"/>
    <mergeCell ref="B244:F244"/>
    <mergeCell ref="B242:E242"/>
    <mergeCell ref="B259:E259"/>
    <mergeCell ref="B263:E263"/>
    <mergeCell ref="D178:E178"/>
    <mergeCell ref="B54:G54"/>
    <mergeCell ref="B83:E83"/>
    <mergeCell ref="I88:L100"/>
    <mergeCell ref="B107:D107"/>
    <mergeCell ref="B109:D109"/>
    <mergeCell ref="L56:P68"/>
    <mergeCell ref="B71:D71"/>
    <mergeCell ref="F71:I78"/>
    <mergeCell ref="B73:D73"/>
    <mergeCell ref="B76:C76"/>
    <mergeCell ref="B77:D78"/>
    <mergeCell ref="B74:D74"/>
    <mergeCell ref="B12:I12"/>
    <mergeCell ref="B33:G33"/>
    <mergeCell ref="B53:G53"/>
    <mergeCell ref="B13:I13"/>
    <mergeCell ref="B17:G17"/>
    <mergeCell ref="B18:H18"/>
    <mergeCell ref="B34:G34"/>
    <mergeCell ref="D174:E174"/>
    <mergeCell ref="D175:E175"/>
    <mergeCell ref="D176:E176"/>
    <mergeCell ref="D177:E177"/>
    <mergeCell ref="K231:O231"/>
    <mergeCell ref="D186:E186"/>
    <mergeCell ref="B181:C181"/>
    <mergeCell ref="B179:C179"/>
    <mergeCell ref="B180:C180"/>
    <mergeCell ref="B186:C186"/>
    <mergeCell ref="D183:E183"/>
    <mergeCell ref="D184:E184"/>
    <mergeCell ref="D185:E185"/>
    <mergeCell ref="D179:E179"/>
    <mergeCell ref="D180:E180"/>
    <mergeCell ref="D181:E181"/>
    <mergeCell ref="D182:E182"/>
  </mergeCells>
  <dataValidations xWindow="400" yWindow="524" count="18">
    <dataValidation allowBlank="1" showErrorMessage="1" sqref="D162" xr:uid="{00000000-0002-0000-0300-000000000000}"/>
    <dataValidation type="decimal" allowBlank="1" showInputMessage="1" showErrorMessage="1" prompt="Ingrese el valor como decimal. DEJE EN BLANCO si utiliza un valor por defecto. " sqref="C162" xr:uid="{00000000-0002-0000-0300-000001000000}">
      <formula1>0</formula1>
      <formula2>1</formula2>
    </dataValidation>
    <dataValidation allowBlank="1" sqref="B162" xr:uid="{00000000-0002-0000-0300-000002000000}"/>
    <dataValidation type="decimal" allowBlank="1" showInputMessage="1" showErrorMessage="1" error="Must enter value as a decimal" prompt="Ingrese el valor como decimal. DEJE EN BLANCO si utiliza un valor por defecto. " sqref="E162" xr:uid="{00000000-0002-0000-0300-000003000000}">
      <formula1>0</formula1>
      <formula2>1</formula2>
    </dataValidation>
    <dataValidation type="list" allowBlank="1" showErrorMessage="1" error="You must enter either a &quot;y&quot; or &quot;n&quot;_x000a_" prompt="Selec_x000a_" sqref="D76" xr:uid="{00000000-0002-0000-0300-000005000000}">
      <formula1>"Sí, No"</formula1>
    </dataValidation>
    <dataValidation type="list" allowBlank="1" showErrorMessage="1" error="you must enter a y or n" prompt="enter either a &quot;y&quot; or &quot;n&quot;" sqref="D85" xr:uid="{00000000-0002-0000-0300-000006000000}">
      <formula1>"Sí, No"</formula1>
    </dataValidation>
    <dataValidation type="decimal" allowBlank="1" showInputMessage="1" showErrorMessage="1" error="Must enter fraction as a decimal" prompt="Introducir fracción como decimal_x000a_Enter fraction as a decimal" sqref="G89:G100" xr:uid="{00000000-0002-0000-0300-000007000000}">
      <formula1>0</formula1>
      <formula2>1</formula2>
    </dataValidation>
    <dataValidation type="decimal" allowBlank="1" showInputMessage="1" showErrorMessage="1" error="Must input percentage as a decimal (0-1)" prompt="Input percentage as a decimal (0-1)" sqref="M193:N194" xr:uid="{00000000-0002-0000-0300-000008000000}">
      <formula1>0</formula1>
      <formula2>1</formula2>
    </dataValidation>
    <dataValidation type="decimal" allowBlank="1" showInputMessage="1" showErrorMessage="1" error="Must input percentage as a decimal (0-1)!_x000a_" prompt="Input percentage as a decimal (0-1)" sqref="M197:N206 C207:O207" xr:uid="{00000000-0002-0000-0300-000009000000}">
      <formula1>0</formula1>
      <formula2>1</formula2>
    </dataValidation>
    <dataValidation type="decimal" allowBlank="1" showInputMessage="1" showErrorMessage="1" prompt="Ingrese el número de días de ventilación para cada mes, use decimales para días parciales." sqref="E131:E142" xr:uid="{00000000-0002-0000-0300-00000B000000}">
      <formula1>0</formula1>
      <formula2>31</formula2>
    </dataValidation>
    <dataValidation type="decimal" allowBlank="1" showInputMessage="1" showErrorMessage="1" error="You must enter the fraction as a decimal_x000a_" prompt="Ingrese la fracción como decimal_x000a_Enter the fraction as a decimal" sqref="E148:E157" xr:uid="{00000000-0002-0000-0300-00000C000000}">
      <formula1>0</formula1>
      <formula2>1</formula2>
    </dataValidation>
    <dataValidation type="decimal" allowBlank="1" showInputMessage="1" showErrorMessage="1" error="Must input percentage as a decimal (0-1)" prompt="Ingrese el porcentaje como decimal (0-1)" sqref="C193:L194" xr:uid="{00000000-0002-0000-0300-00000D000000}">
      <formula1>0</formula1>
      <formula2>1</formula2>
    </dataValidation>
    <dataValidation type="decimal" allowBlank="1" showInputMessage="1" showErrorMessage="1" error="Must input percentage as a decimal (0-1)!_x000a_" prompt="Ingrese el porcentaje como decimal (0-1)" sqref="C197:L206" xr:uid="{00000000-0002-0000-0300-00000E000000}">
      <formula1>0</formula1>
      <formula2>1</formula2>
    </dataValidation>
    <dataValidation type="list" allowBlank="1" showInputMessage="1" showErrorMessage="1" prompt="Seleccione de la lista_x000a_Select from the list" sqref="C252" xr:uid="{00000000-0002-0000-0300-000010000000}">
      <formula1>$I$246</formula1>
    </dataValidation>
    <dataValidation type="list" allowBlank="1" showInputMessage="1" showErrorMessage="1" prompt="Seleccione de la lista_x000d__x000a_Select from the list" sqref="C248:C250" xr:uid="{00000000-0002-0000-0300-000013000000}">
      <formula1>$I$232:$I$245</formula1>
    </dataValidation>
    <dataValidation type="list" allowBlank="1" showInputMessage="1" showErrorMessage="1" sqref="B232:B235 B237:B241" xr:uid="{16A752FA-176C-4264-92F9-AADDF06E8BFE}">
      <formula1>$K$232:$K$237</formula1>
    </dataValidation>
    <dataValidation allowBlank="1" showInputMessage="1" showErrorMessage="1" prompt="tipo de combustible de entrada que no figura en la lista_x000a_input fuel type that is not listed" sqref="C237:C241" xr:uid="{0626464B-2690-4C3D-81D6-FDA806F98845}"/>
    <dataValidation allowBlank="1" showInputMessage="1" showErrorMessage="1" prompt="factor de emisión por defecto para el tipo de combustible de una fuente de la jurisdicción_x000a_input default emission factor for fuel type from a source in the jurisdiction" sqref="E237:E241" xr:uid="{D95F4831-B048-40FB-B689-767D1F35835D}"/>
  </dataValidation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xWindow="400" yWindow="524" count="4">
        <x14:dataValidation type="list" allowBlank="1" showInputMessage="1" showErrorMessage="1" xr:uid="{00000000-0002-0000-0300-00000A000000}">
          <x14:formula1>
            <xm:f>'XIV. Tablas de referencia'!$B$224:$B$231</xm:f>
          </x14:formula1>
          <xm:sqref>I38:I49 G38:G49 E38:E49 C38:C49</xm:sqref>
        </x14:dataValidation>
        <x14:dataValidation type="list" allowBlank="1" showInputMessage="1" showErrorMessage="1" prompt="Seleccione de la lista_x000a_Select from the list_x000a_" xr:uid="{00000000-0002-0000-0300-000004000000}">
          <x14:formula1>
            <xm:f>'XIV. Tablas de referencia'!$B$250:$B$252</xm:f>
          </x14:formula1>
          <xm:sqref>B174:B175</xm:sqref>
        </x14:dataValidation>
        <x14:dataValidation type="list" allowBlank="1" showInputMessage="1" showErrorMessage="1" prompt="Seleccione de la lista_x000a_Select from the list_x000a_" xr:uid="{00000000-0002-0000-0300-000012000000}">
          <x14:formula1>
            <xm:f>'XIV. Tablas de referencia'!$E$250:$E$261</xm:f>
          </x14:formula1>
          <xm:sqref>B177:B186</xm:sqref>
        </x14:dataValidation>
        <x14:dataValidation type="list" allowBlank="1" showInputMessage="1" showErrorMessage="1" prompt="Seleccione de la lista_x000a_Select from the list" xr:uid="{5AC2E369-166E-4572-9ECC-51FBDFEF8072}">
          <x14:formula1>
            <xm:f>'XIV. Tablas de referencia'!$B$214:$B$218</xm:f>
          </x14:formula1>
          <xm:sqref>C232:C235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P513"/>
  <sheetViews>
    <sheetView showGridLines="0" topLeftCell="A4" zoomScale="90" zoomScaleNormal="90" zoomScalePageLayoutView="125" workbookViewId="0">
      <selection activeCell="U19" sqref="U19"/>
    </sheetView>
  </sheetViews>
  <sheetFormatPr defaultColWidth="8.83203125" defaultRowHeight="12.5" x14ac:dyDescent="0.25"/>
  <cols>
    <col min="1" max="1" width="2.08203125" style="2" customWidth="1"/>
    <col min="2" max="2" width="25.83203125" style="2" customWidth="1"/>
    <col min="3" max="3" width="19.5" style="20" customWidth="1"/>
    <col min="4" max="4" width="7.83203125" style="3" customWidth="1"/>
    <col min="5" max="5" width="19.33203125" style="3" customWidth="1"/>
    <col min="6" max="6" width="17.83203125" style="3" customWidth="1"/>
    <col min="7" max="7" width="35" style="3" customWidth="1"/>
    <col min="8" max="8" width="16.58203125" style="14" customWidth="1"/>
    <col min="9" max="9" width="17.5" style="14" customWidth="1"/>
    <col min="10" max="10" width="19.5" style="3" customWidth="1"/>
    <col min="11" max="11" width="4.33203125" style="2" customWidth="1"/>
    <col min="12" max="12" width="8.9140625" style="2" customWidth="1"/>
    <col min="13" max="13" width="3" style="2" customWidth="1"/>
    <col min="14" max="14" width="4.08203125" style="2" customWidth="1"/>
    <col min="15" max="15" width="3.08203125" style="2" customWidth="1"/>
    <col min="16" max="17" width="9.08203125" style="2" hidden="1" customWidth="1"/>
    <col min="18" max="19" width="8.83203125" style="2"/>
    <col min="20" max="20" width="5.58203125" style="2" customWidth="1"/>
    <col min="21" max="16384" width="8.83203125" style="2"/>
  </cols>
  <sheetData>
    <row r="1" spans="2:17" ht="27.75" customHeight="1" x14ac:dyDescent="0.25">
      <c r="B1" s="319" t="s">
        <v>155</v>
      </c>
      <c r="F1" s="5"/>
      <c r="G1" s="5"/>
      <c r="H1" s="148"/>
      <c r="I1" s="148"/>
      <c r="J1" s="5"/>
      <c r="K1" s="5"/>
      <c r="L1" s="5"/>
      <c r="M1" s="5"/>
      <c r="N1" s="5"/>
      <c r="O1" s="5"/>
      <c r="P1" s="5"/>
      <c r="Q1" s="7"/>
    </row>
    <row r="2" spans="2:17" s="319" customFormat="1" ht="27.75" customHeight="1" x14ac:dyDescent="0.35">
      <c r="B2" s="908" t="s">
        <v>929</v>
      </c>
    </row>
    <row r="3" spans="2:17" s="9" customFormat="1" ht="13" x14ac:dyDescent="0.3">
      <c r="B3" s="2"/>
      <c r="C3" s="20"/>
      <c r="D3" s="8"/>
      <c r="E3" s="4"/>
      <c r="F3" s="2"/>
      <c r="G3" s="2"/>
      <c r="H3" s="10"/>
      <c r="I3" s="10"/>
      <c r="J3" s="5"/>
      <c r="K3" s="5"/>
      <c r="L3" s="5"/>
      <c r="M3" s="5"/>
      <c r="N3" s="5"/>
      <c r="O3" s="5"/>
      <c r="P3" s="5"/>
      <c r="Q3" s="7"/>
    </row>
    <row r="4" spans="2:17" ht="13" x14ac:dyDescent="0.3">
      <c r="B4" s="9" t="s">
        <v>799</v>
      </c>
      <c r="C4" s="1235"/>
      <c r="D4" s="1235"/>
      <c r="E4" s="1235"/>
      <c r="F4" s="1235"/>
      <c r="G4" s="1235"/>
      <c r="H4" s="10"/>
      <c r="I4" s="10"/>
      <c r="J4" s="5"/>
      <c r="K4" s="5"/>
      <c r="L4" s="5"/>
      <c r="M4" s="5"/>
      <c r="N4" s="5"/>
      <c r="O4" s="5"/>
      <c r="P4" s="5"/>
      <c r="Q4" s="7"/>
    </row>
    <row r="5" spans="2:17" ht="13" customHeight="1" x14ac:dyDescent="0.3">
      <c r="B5" s="899" t="s">
        <v>398</v>
      </c>
      <c r="C5" s="1239" t="s">
        <v>914</v>
      </c>
      <c r="D5" s="1239"/>
      <c r="E5" s="1239"/>
      <c r="F5" s="1239"/>
      <c r="G5" s="1239"/>
      <c r="H5" s="1239"/>
      <c r="I5" s="1239"/>
      <c r="J5" s="1239"/>
      <c r="K5" s="1239"/>
      <c r="L5" s="1239"/>
      <c r="M5" s="1239"/>
      <c r="N5" s="1239"/>
      <c r="O5" s="5"/>
      <c r="P5" s="5"/>
      <c r="Q5" s="7"/>
    </row>
    <row r="6" spans="2:17" ht="13" x14ac:dyDescent="0.3">
      <c r="B6" s="900" t="s">
        <v>370</v>
      </c>
      <c r="C6" s="1238" t="s">
        <v>915</v>
      </c>
      <c r="D6" s="1238"/>
      <c r="E6" s="1238"/>
      <c r="F6" s="1238"/>
      <c r="G6" s="1238"/>
      <c r="H6" s="1238"/>
      <c r="I6" s="1238"/>
      <c r="J6" s="1238"/>
      <c r="K6" s="1238"/>
      <c r="L6" s="1238"/>
      <c r="M6" s="1238"/>
      <c r="N6" s="1238"/>
      <c r="O6" s="5"/>
      <c r="P6" s="5"/>
      <c r="Q6" s="7"/>
    </row>
    <row r="7" spans="2:17" ht="13" x14ac:dyDescent="0.3">
      <c r="B7" s="901" t="s">
        <v>317</v>
      </c>
      <c r="C7" s="1237" t="s">
        <v>805</v>
      </c>
      <c r="D7" s="1237"/>
      <c r="E7" s="1237"/>
      <c r="F7" s="1237"/>
      <c r="G7" s="1237"/>
      <c r="H7" s="1237"/>
      <c r="I7" s="1237"/>
      <c r="J7" s="1237"/>
      <c r="K7" s="1237"/>
      <c r="L7" s="1237"/>
      <c r="M7" s="1237"/>
      <c r="N7" s="1237"/>
      <c r="O7" s="5"/>
      <c r="P7" s="5"/>
      <c r="Q7" s="7"/>
    </row>
    <row r="8" spans="2:17" ht="13" x14ac:dyDescent="0.3">
      <c r="B8" s="902" t="s">
        <v>913</v>
      </c>
      <c r="C8" s="1236" t="s">
        <v>916</v>
      </c>
      <c r="D8" s="1236"/>
      <c r="E8" s="1236"/>
      <c r="F8" s="1236"/>
      <c r="G8" s="1236"/>
      <c r="H8" s="1236"/>
      <c r="I8" s="1236"/>
      <c r="J8" s="1236"/>
      <c r="K8" s="1236"/>
      <c r="L8" s="1236"/>
      <c r="M8" s="1236"/>
      <c r="N8" s="1236"/>
      <c r="O8" s="5"/>
      <c r="P8" s="5"/>
      <c r="Q8" s="7"/>
    </row>
    <row r="9" spans="2:17" ht="13" x14ac:dyDescent="0.3">
      <c r="B9" s="892" t="s">
        <v>400</v>
      </c>
      <c r="C9" s="1230" t="s">
        <v>917</v>
      </c>
      <c r="D9" s="1230"/>
      <c r="E9" s="1230"/>
      <c r="F9" s="1230"/>
      <c r="G9" s="1230"/>
      <c r="H9" s="1230"/>
      <c r="I9" s="1230"/>
      <c r="J9" s="1230"/>
      <c r="K9" s="1230"/>
      <c r="L9" s="1230"/>
      <c r="M9" s="1230"/>
      <c r="N9" s="1230"/>
      <c r="O9" s="5"/>
      <c r="P9" s="5"/>
      <c r="Q9" s="7"/>
    </row>
    <row r="10" spans="2:17" ht="13" x14ac:dyDescent="0.3">
      <c r="B10" s="903" t="s">
        <v>801</v>
      </c>
      <c r="C10" s="1231" t="s">
        <v>918</v>
      </c>
      <c r="D10" s="1231"/>
      <c r="E10" s="1231"/>
      <c r="F10" s="1231"/>
      <c r="G10" s="1231"/>
      <c r="H10" s="1231"/>
      <c r="I10" s="1231"/>
      <c r="J10" s="1231"/>
      <c r="K10" s="1231"/>
      <c r="L10" s="1231"/>
      <c r="M10" s="1231"/>
      <c r="N10" s="1231"/>
    </row>
    <row r="11" spans="2:17" ht="13" x14ac:dyDescent="0.3">
      <c r="B11" s="11"/>
      <c r="C11" s="222"/>
      <c r="E11" s="12"/>
      <c r="F11" s="5"/>
      <c r="G11" s="5"/>
      <c r="H11" s="148"/>
      <c r="I11" s="148"/>
      <c r="J11" s="5"/>
      <c r="K11" s="5"/>
      <c r="L11" s="5"/>
      <c r="M11" s="5"/>
      <c r="N11" s="5"/>
      <c r="O11" s="5"/>
      <c r="P11" s="5"/>
      <c r="Q11" s="7"/>
    </row>
    <row r="12" spans="2:17" ht="13" x14ac:dyDescent="0.3">
      <c r="B12" s="13" t="s">
        <v>156</v>
      </c>
      <c r="E12" s="8"/>
      <c r="F12" s="5"/>
      <c r="G12" s="5"/>
      <c r="H12" s="148"/>
      <c r="I12" s="148"/>
      <c r="J12" s="5"/>
      <c r="K12" s="5"/>
      <c r="L12" s="5"/>
      <c r="M12" s="5"/>
      <c r="N12" s="5"/>
      <c r="O12" s="5"/>
      <c r="P12" s="5"/>
      <c r="Q12" s="7"/>
    </row>
    <row r="13" spans="2:17" ht="13" x14ac:dyDescent="0.3">
      <c r="B13" s="107" t="s">
        <v>919</v>
      </c>
      <c r="E13" s="8"/>
      <c r="F13" s="5"/>
      <c r="G13" s="5"/>
      <c r="H13" s="148"/>
      <c r="I13" s="148"/>
      <c r="J13" s="5"/>
      <c r="K13" s="5"/>
      <c r="L13" s="5"/>
      <c r="M13" s="5"/>
      <c r="N13" s="5"/>
      <c r="O13" s="5"/>
      <c r="P13" s="5"/>
      <c r="Q13" s="7"/>
    </row>
    <row r="14" spans="2:17" ht="13" thickBot="1" x14ac:dyDescent="0.3">
      <c r="B14" s="11"/>
      <c r="C14" s="222"/>
      <c r="E14" s="14"/>
      <c r="F14" s="5"/>
      <c r="G14" s="5"/>
      <c r="H14" s="148"/>
      <c r="I14" s="148"/>
      <c r="J14" s="5"/>
      <c r="K14" s="5"/>
      <c r="L14" s="5"/>
      <c r="M14" s="5"/>
      <c r="N14" s="5"/>
      <c r="O14" s="5"/>
      <c r="P14" s="15"/>
      <c r="Q14" s="16"/>
    </row>
    <row r="15" spans="2:17" ht="17.5" x14ac:dyDescent="0.45">
      <c r="B15" s="17" t="s">
        <v>157</v>
      </c>
      <c r="C15" s="70"/>
      <c r="O15" s="18"/>
    </row>
    <row r="16" spans="2:17" ht="16" thickBot="1" x14ac:dyDescent="0.4">
      <c r="B16" s="904" t="s">
        <v>921</v>
      </c>
      <c r="C16" s="70"/>
      <c r="O16" s="18"/>
    </row>
    <row r="17" spans="2:18" ht="136.5" customHeight="1" thickBot="1" x14ac:dyDescent="0.3">
      <c r="B17" s="1227" t="s">
        <v>920</v>
      </c>
      <c r="C17" s="1228"/>
      <c r="D17" s="1228"/>
      <c r="E17" s="1228"/>
      <c r="F17" s="1228"/>
      <c r="G17" s="1228"/>
      <c r="H17" s="1228"/>
      <c r="I17" s="1228"/>
      <c r="J17" s="1229"/>
      <c r="O17" s="18"/>
    </row>
    <row r="18" spans="2:18" ht="13.5" thickBot="1" x14ac:dyDescent="0.35">
      <c r="B18" s="19"/>
      <c r="D18" s="21"/>
      <c r="E18" s="21"/>
      <c r="F18" s="21"/>
      <c r="G18" s="21"/>
      <c r="H18" s="907"/>
      <c r="I18" s="907"/>
      <c r="J18" s="21"/>
      <c r="O18" s="18"/>
    </row>
    <row r="19" spans="2:18" s="22" customFormat="1" ht="52" x14ac:dyDescent="0.3">
      <c r="B19" s="320" t="str">
        <f>'III. Datos Entrada-BE'!$C$53</f>
        <v>Vacas lecheras y no lecheras (en sistemas intensivos) 
Dairy and non-milking dairy cows (in intensive systems)</v>
      </c>
      <c r="C19" s="24">
        <f>'III. Datos Entrada-BE'!B136</f>
        <v>0</v>
      </c>
      <c r="D19" s="25"/>
      <c r="E19" s="12"/>
      <c r="F19" s="12"/>
      <c r="G19" s="12"/>
      <c r="H19" s="12"/>
      <c r="I19" s="12"/>
      <c r="J19" s="12"/>
      <c r="P19" s="26"/>
      <c r="Q19" s="26"/>
      <c r="R19" s="26"/>
    </row>
    <row r="20" spans="2:18" ht="15" x14ac:dyDescent="0.4">
      <c r="B20" s="574" t="s">
        <v>158</v>
      </c>
      <c r="C20" s="666">
        <f>'III. Datos Entrada-BE'!D104</f>
        <v>3.91</v>
      </c>
      <c r="E20" s="8"/>
      <c r="F20" s="12"/>
      <c r="G20" s="12"/>
      <c r="H20" s="12"/>
      <c r="I20" s="12"/>
      <c r="J20" s="12"/>
      <c r="K20" s="22"/>
      <c r="L20" s="22"/>
      <c r="M20" s="22"/>
      <c r="O20" s="22"/>
      <c r="P20" s="20"/>
      <c r="Q20" s="20"/>
      <c r="R20" s="20"/>
    </row>
    <row r="21" spans="2:18" ht="13.5" thickBot="1" x14ac:dyDescent="0.35">
      <c r="B21" s="27"/>
      <c r="C21" s="415"/>
      <c r="E21" s="8"/>
      <c r="F21" s="12"/>
      <c r="G21" s="12"/>
      <c r="H21" s="12"/>
      <c r="I21" s="12"/>
      <c r="J21" s="12"/>
      <c r="K21" s="22"/>
      <c r="L21" s="22"/>
      <c r="M21" s="22"/>
      <c r="O21" s="22"/>
      <c r="P21" s="20"/>
      <c r="Q21" s="20"/>
      <c r="R21" s="20"/>
    </row>
    <row r="22" spans="2:18" ht="27.5" thickBot="1" x14ac:dyDescent="0.45">
      <c r="B22" s="905" t="s">
        <v>442</v>
      </c>
      <c r="C22" s="269" t="s">
        <v>922</v>
      </c>
      <c r="D22" s="59" t="s">
        <v>159</v>
      </c>
      <c r="E22" s="60" t="s">
        <v>160</v>
      </c>
      <c r="F22" s="61" t="s">
        <v>161</v>
      </c>
      <c r="G22" s="60" t="s">
        <v>162</v>
      </c>
      <c r="H22" s="61" t="s">
        <v>163</v>
      </c>
      <c r="I22" s="83" t="s">
        <v>164</v>
      </c>
      <c r="J22" s="63" t="s">
        <v>165</v>
      </c>
    </row>
    <row r="23" spans="2:18" ht="13" thickBot="1" x14ac:dyDescent="0.3">
      <c r="B23" s="29" t="str">
        <f>'III. Datos Entrada-BE'!B32</f>
        <v>enero</v>
      </c>
      <c r="C23" s="416">
        <f>'III. Datos Entrada-BE'!$E$32</f>
        <v>31</v>
      </c>
      <c r="D23" s="31">
        <f>MIN(0.95, MAX(0.104,EXP(15175*(('III. Datos Entrada-BE'!C32+273)-303.16)/(1.987*('III. Datos Entrada-BE'!C32+273)*303.16))))</f>
        <v>0.104</v>
      </c>
      <c r="E23" s="30">
        <f t="shared" ref="E23:E34" si="0">$C$20</f>
        <v>3.91</v>
      </c>
      <c r="F23" s="31">
        <f>(E23*'III. Datos Entrada-BE'!C79*'III. Datos Entrada-BE'!$C$191*C23*0.8)+G23</f>
        <v>0</v>
      </c>
      <c r="G23" s="32"/>
      <c r="H23" s="31">
        <f>F23*D23</f>
        <v>0</v>
      </c>
      <c r="I23" s="34">
        <f>IF('III. Datos Entrada-BE'!D32=0,0,H23*'III. Datos Entrada-BE'!$C$120*0.717*0.001)*('III. Datos Entrada-BE'!G32/'III. Datos Entrada-BE'!E32)</f>
        <v>0</v>
      </c>
      <c r="J23" s="700">
        <f t="shared" ref="J23:J34" si="1">I23*PCG</f>
        <v>0</v>
      </c>
    </row>
    <row r="24" spans="2:18" ht="13" thickBot="1" x14ac:dyDescent="0.3">
      <c r="B24" s="529" t="str">
        <f>'III. Datos Entrada-BE'!B33</f>
        <v>febrero</v>
      </c>
      <c r="C24" s="667">
        <f>'III. Datos Entrada-BE'!$E$33</f>
        <v>28</v>
      </c>
      <c r="D24" s="668">
        <f>MIN(0.95, MAX(0.104,EXP(15175*(('III. Datos Entrada-BE'!C33+273)-303.16)/(1.987*('III. Datos Entrada-BE'!C33+273)*303.16))))</f>
        <v>0.104</v>
      </c>
      <c r="E24" s="669">
        <f t="shared" si="0"/>
        <v>3.91</v>
      </c>
      <c r="F24" s="668">
        <f>(E24*'III. Datos Entrada-BE'!C80*'III. Datos Entrada-BE'!$C$191*C24*0.8)+G24</f>
        <v>0</v>
      </c>
      <c r="G24" s="670">
        <f>IF('III. Datos Entrada-BE'!$E$164=B23,0,IF('III. Datos Entrada-BE'!$F$164=B23,0,IF('III. Datos Entrada-BE'!$G$164=B23,0,IF('III. Datos Entrada-BE'!$C$164="Sí",0,(F23-H23)))))</f>
        <v>0</v>
      </c>
      <c r="H24" s="668">
        <f t="shared" ref="H24:H34" si="2">F24*D24</f>
        <v>0</v>
      </c>
      <c r="I24" s="34">
        <f>IF('III. Datos Entrada-BE'!D33=0,0,H24*'III. Datos Entrada-BE'!$C$120*0.717*0.001)*('III. Datos Entrada-BE'!G33/'III. Datos Entrada-BE'!E33)</f>
        <v>0</v>
      </c>
      <c r="J24" s="700">
        <f t="shared" si="1"/>
        <v>0</v>
      </c>
    </row>
    <row r="25" spans="2:18" ht="13" thickBot="1" x14ac:dyDescent="0.3">
      <c r="B25" s="529" t="str">
        <f>'III. Datos Entrada-BE'!B34</f>
        <v>marzo</v>
      </c>
      <c r="C25" s="667">
        <f>'III. Datos Entrada-BE'!$E$34</f>
        <v>31</v>
      </c>
      <c r="D25" s="668">
        <f>MIN(0.95, MAX(0.104,EXP(15175*(('III. Datos Entrada-BE'!C34+273)-303.16)/(1.987*('III. Datos Entrada-BE'!C34+273)*303.16))))</f>
        <v>0.104</v>
      </c>
      <c r="E25" s="669">
        <f t="shared" si="0"/>
        <v>3.91</v>
      </c>
      <c r="F25" s="668">
        <f>(E25*'III. Datos Entrada-BE'!C81*'III. Datos Entrada-BE'!$C$191*C25*0.8)+G25</f>
        <v>0</v>
      </c>
      <c r="G25" s="670">
        <f>IF('III. Datos Entrada-BE'!$E$164=B24,0,IF('III. Datos Entrada-BE'!$F$164=B24,0,IF('III. Datos Entrada-BE'!$G$164=B24,0,IF('III. Datos Entrada-BE'!$C$164="Sí",0,(F24-H24)))))</f>
        <v>0</v>
      </c>
      <c r="H25" s="668">
        <f t="shared" si="2"/>
        <v>0</v>
      </c>
      <c r="I25" s="34">
        <f>IF('III. Datos Entrada-BE'!D34=0,0,H25*'III. Datos Entrada-BE'!$C$120*0.717*0.001)*('III. Datos Entrada-BE'!G34/'III. Datos Entrada-BE'!E34)</f>
        <v>0</v>
      </c>
      <c r="J25" s="700">
        <f t="shared" si="1"/>
        <v>0</v>
      </c>
    </row>
    <row r="26" spans="2:18" ht="13" thickBot="1" x14ac:dyDescent="0.3">
      <c r="B26" s="529" t="str">
        <f>'III. Datos Entrada-BE'!B35</f>
        <v>abril</v>
      </c>
      <c r="C26" s="667">
        <f>'III. Datos Entrada-BE'!$E$35</f>
        <v>30</v>
      </c>
      <c r="D26" s="668">
        <f>MIN(0.95, MAX(0.104,EXP(15175*(('III. Datos Entrada-BE'!C35+273)-303.16)/(1.987*('III. Datos Entrada-BE'!C35+273)*303.16))))</f>
        <v>0.104</v>
      </c>
      <c r="E26" s="669">
        <f t="shared" si="0"/>
        <v>3.91</v>
      </c>
      <c r="F26" s="668">
        <f>(E26*'III. Datos Entrada-BE'!C82*'III. Datos Entrada-BE'!$C$191*C26*0.8)+G26</f>
        <v>0</v>
      </c>
      <c r="G26" s="670">
        <f>IF('III. Datos Entrada-BE'!$E$164=B25,0,IF('III. Datos Entrada-BE'!$F$164=B25,0,IF('III. Datos Entrada-BE'!$G$164=B25,0,IF('III. Datos Entrada-BE'!$C$164="Sí",0,(F25-H25)))))</f>
        <v>0</v>
      </c>
      <c r="H26" s="668">
        <f t="shared" si="2"/>
        <v>0</v>
      </c>
      <c r="I26" s="34">
        <f>IF('III. Datos Entrada-BE'!D35=0,0,H26*'III. Datos Entrada-BE'!$C$120*0.717*0.001)*('III. Datos Entrada-BE'!G35/'III. Datos Entrada-BE'!E35)</f>
        <v>0</v>
      </c>
      <c r="J26" s="700">
        <f t="shared" si="1"/>
        <v>0</v>
      </c>
    </row>
    <row r="27" spans="2:18" ht="13" thickBot="1" x14ac:dyDescent="0.3">
      <c r="B27" s="529" t="str">
        <f>'III. Datos Entrada-BE'!B36</f>
        <v>mayo</v>
      </c>
      <c r="C27" s="667">
        <f>'III. Datos Entrada-BE'!$E$36</f>
        <v>31</v>
      </c>
      <c r="D27" s="668">
        <f>MIN(0.95, MAX(0.104,EXP(15175*(('III. Datos Entrada-BE'!C36+273)-303.16)/(1.987*('III. Datos Entrada-BE'!C36+273)*303.16))))</f>
        <v>0.104</v>
      </c>
      <c r="E27" s="669">
        <f t="shared" si="0"/>
        <v>3.91</v>
      </c>
      <c r="F27" s="668">
        <f>(E27*'III. Datos Entrada-BE'!C83*'III. Datos Entrada-BE'!$C$191*C27*0.8)+G27</f>
        <v>0</v>
      </c>
      <c r="G27" s="670">
        <f>IF('III. Datos Entrada-BE'!$E$164=B26,0,IF('III. Datos Entrada-BE'!$F$164=B26,0,IF('III. Datos Entrada-BE'!$G$164=B26,0,IF('III. Datos Entrada-BE'!$C$164="Sí",0,(F26-H26)))))</f>
        <v>0</v>
      </c>
      <c r="H27" s="668">
        <f t="shared" si="2"/>
        <v>0</v>
      </c>
      <c r="I27" s="34">
        <f>IF('III. Datos Entrada-BE'!D36=0,0,H27*'III. Datos Entrada-BE'!$C$120*0.717*0.001)*('III. Datos Entrada-BE'!G36/'III. Datos Entrada-BE'!E36)</f>
        <v>0</v>
      </c>
      <c r="J27" s="700">
        <f t="shared" si="1"/>
        <v>0</v>
      </c>
    </row>
    <row r="28" spans="2:18" ht="13" thickBot="1" x14ac:dyDescent="0.3">
      <c r="B28" s="529" t="str">
        <f>'III. Datos Entrada-BE'!B37</f>
        <v>junio</v>
      </c>
      <c r="C28" s="667">
        <f>'III. Datos Entrada-BE'!$E$37</f>
        <v>30</v>
      </c>
      <c r="D28" s="668">
        <f>MIN(0.95, MAX(0.104,EXP(15175*(('III. Datos Entrada-BE'!C37+273)-303.16)/(1.987*('III. Datos Entrada-BE'!C37+273)*303.16))))</f>
        <v>0.104</v>
      </c>
      <c r="E28" s="669">
        <f t="shared" si="0"/>
        <v>3.91</v>
      </c>
      <c r="F28" s="668">
        <f>(E28*'III. Datos Entrada-BE'!C84*'III. Datos Entrada-BE'!$C$191*C28*0.8)+G28</f>
        <v>0</v>
      </c>
      <c r="G28" s="670">
        <f>IF('III. Datos Entrada-BE'!$E$164=B27,0,IF('III. Datos Entrada-BE'!$F$164=B27,0,IF('III. Datos Entrada-BE'!$G$164=B27,0,IF('III. Datos Entrada-BE'!$C$164="Sí",0,(F27-H27)))))</f>
        <v>0</v>
      </c>
      <c r="H28" s="668">
        <f t="shared" si="2"/>
        <v>0</v>
      </c>
      <c r="I28" s="34">
        <f>IF('III. Datos Entrada-BE'!D37=0,0,H28*'III. Datos Entrada-BE'!$C$120*0.717*0.001)*('III. Datos Entrada-BE'!G37/'III. Datos Entrada-BE'!E37)</f>
        <v>0</v>
      </c>
      <c r="J28" s="700">
        <f t="shared" si="1"/>
        <v>0</v>
      </c>
    </row>
    <row r="29" spans="2:18" ht="13" thickBot="1" x14ac:dyDescent="0.3">
      <c r="B29" s="529" t="str">
        <f>'III. Datos Entrada-BE'!B38</f>
        <v>julio</v>
      </c>
      <c r="C29" s="667">
        <f>'III. Datos Entrada-BE'!$E$38</f>
        <v>31</v>
      </c>
      <c r="D29" s="668">
        <f>MIN(0.95, MAX(0.104,EXP(15175*(('III. Datos Entrada-BE'!C38+273)-303.16)/(1.987*('III. Datos Entrada-BE'!C38+273)*303.16))))</f>
        <v>0.104</v>
      </c>
      <c r="E29" s="669">
        <f t="shared" si="0"/>
        <v>3.91</v>
      </c>
      <c r="F29" s="668">
        <f>(E29*'III. Datos Entrada-BE'!C85*'III. Datos Entrada-BE'!$C$191*C29*0.8)+G29</f>
        <v>0</v>
      </c>
      <c r="G29" s="670">
        <f>IF('III. Datos Entrada-BE'!$E$164=B28,0,IF('III. Datos Entrada-BE'!$F$164=B28,0,IF('III. Datos Entrada-BE'!$G$164=B28,0,IF('III. Datos Entrada-BE'!$C$164="Sí",0,(F28-H28)))))</f>
        <v>0</v>
      </c>
      <c r="H29" s="668">
        <f t="shared" si="2"/>
        <v>0</v>
      </c>
      <c r="I29" s="34">
        <f>IF('III. Datos Entrada-BE'!D38=0,0,H29*'III. Datos Entrada-BE'!$C$120*0.717*0.001)*('III. Datos Entrada-BE'!G38/'III. Datos Entrada-BE'!E38)</f>
        <v>0</v>
      </c>
      <c r="J29" s="700">
        <f t="shared" si="1"/>
        <v>0</v>
      </c>
    </row>
    <row r="30" spans="2:18" ht="13" thickBot="1" x14ac:dyDescent="0.3">
      <c r="B30" s="529" t="str">
        <f>'III. Datos Entrada-BE'!B39</f>
        <v>agosto</v>
      </c>
      <c r="C30" s="667">
        <f>'III. Datos Entrada-BE'!$E$39</f>
        <v>31</v>
      </c>
      <c r="D30" s="668">
        <f>MIN(0.95, MAX(0.104,EXP(15175*(('III. Datos Entrada-BE'!C39+273)-303.16)/(1.987*('III. Datos Entrada-BE'!C39+273)*303.16))))</f>
        <v>0.104</v>
      </c>
      <c r="E30" s="669">
        <f t="shared" si="0"/>
        <v>3.91</v>
      </c>
      <c r="F30" s="668">
        <f>(E30*'III. Datos Entrada-BE'!C86*'III. Datos Entrada-BE'!$C$191*C30*0.8)+G30</f>
        <v>0</v>
      </c>
      <c r="G30" s="670">
        <f>IF('III. Datos Entrada-BE'!$E$164=B29,0,IF('III. Datos Entrada-BE'!$F$164=B29,0,IF('III. Datos Entrada-BE'!$G$164=B29,0,IF('III. Datos Entrada-BE'!$C$164="Sí",0,(F29-H29)))))</f>
        <v>0</v>
      </c>
      <c r="H30" s="668">
        <f t="shared" si="2"/>
        <v>0</v>
      </c>
      <c r="I30" s="34">
        <f>IF('III. Datos Entrada-BE'!D39=0,0,H30*'III. Datos Entrada-BE'!$C$120*0.717*0.001)*('III. Datos Entrada-BE'!G39/'III. Datos Entrada-BE'!E39)</f>
        <v>0</v>
      </c>
      <c r="J30" s="700">
        <f t="shared" si="1"/>
        <v>0</v>
      </c>
    </row>
    <row r="31" spans="2:18" ht="13" thickBot="1" x14ac:dyDescent="0.3">
      <c r="B31" s="529" t="str">
        <f>'III. Datos Entrada-BE'!B40</f>
        <v>septiembre</v>
      </c>
      <c r="C31" s="667">
        <f>'III. Datos Entrada-BE'!$E$40</f>
        <v>30</v>
      </c>
      <c r="D31" s="668">
        <f>MIN(0.95, MAX(0.104,EXP(15175*(('III. Datos Entrada-BE'!C40+273)-303.16)/(1.987*('III. Datos Entrada-BE'!C40+273)*303.16))))</f>
        <v>0.104</v>
      </c>
      <c r="E31" s="669">
        <f t="shared" si="0"/>
        <v>3.91</v>
      </c>
      <c r="F31" s="668">
        <f>(E31*'III. Datos Entrada-BE'!C87*'III. Datos Entrada-BE'!$C$191*C31*0.8)+G31</f>
        <v>0</v>
      </c>
      <c r="G31" s="670">
        <f>IF('III. Datos Entrada-BE'!$E$164=B30,0,IF('III. Datos Entrada-BE'!$F$164=B30,0,IF('III. Datos Entrada-BE'!$G$164=B30,0,IF('III. Datos Entrada-BE'!$C$164="Sí",0,(F30-H30)))))</f>
        <v>0</v>
      </c>
      <c r="H31" s="668">
        <f t="shared" si="2"/>
        <v>0</v>
      </c>
      <c r="I31" s="34">
        <f>IF('III. Datos Entrada-BE'!D40=0,0,H31*'III. Datos Entrada-BE'!$C$120*0.717*0.001)*('III. Datos Entrada-BE'!G40/'III. Datos Entrada-BE'!E40)</f>
        <v>0</v>
      </c>
      <c r="J31" s="700">
        <f t="shared" si="1"/>
        <v>0</v>
      </c>
    </row>
    <row r="32" spans="2:18" ht="13" thickBot="1" x14ac:dyDescent="0.3">
      <c r="B32" s="529" t="str">
        <f>'III. Datos Entrada-BE'!B41</f>
        <v>octubre</v>
      </c>
      <c r="C32" s="667">
        <f>'III. Datos Entrada-BE'!$E$41</f>
        <v>31</v>
      </c>
      <c r="D32" s="668">
        <f>MIN(0.95, MAX(0.104,EXP(15175*(('III. Datos Entrada-BE'!C41+273)-303.16)/(1.987*('III. Datos Entrada-BE'!C41+273)*303.16))))</f>
        <v>0.104</v>
      </c>
      <c r="E32" s="669">
        <f t="shared" si="0"/>
        <v>3.91</v>
      </c>
      <c r="F32" s="668">
        <f>(E32*'III. Datos Entrada-BE'!C88*'III. Datos Entrada-BE'!$C$191*C32*0.8)+G32</f>
        <v>0</v>
      </c>
      <c r="G32" s="670">
        <f>IF('III. Datos Entrada-BE'!$E$164=B31,0,IF('III. Datos Entrada-BE'!$F$164=B31,0,IF('III. Datos Entrada-BE'!$G$164=B31,0,IF('III. Datos Entrada-BE'!$C$164="Sí",0,(F31-H31)))))</f>
        <v>0</v>
      </c>
      <c r="H32" s="668">
        <f t="shared" si="2"/>
        <v>0</v>
      </c>
      <c r="I32" s="34">
        <f>IF('III. Datos Entrada-BE'!D41=0,0,H32*'III. Datos Entrada-BE'!$C$120*0.717*0.001)*('III. Datos Entrada-BE'!G41/'III. Datos Entrada-BE'!E41)</f>
        <v>0</v>
      </c>
      <c r="J32" s="700">
        <f t="shared" si="1"/>
        <v>0</v>
      </c>
    </row>
    <row r="33" spans="1:94" ht="13" thickBot="1" x14ac:dyDescent="0.3">
      <c r="B33" s="529" t="str">
        <f>'III. Datos Entrada-BE'!B42</f>
        <v>noviembre</v>
      </c>
      <c r="C33" s="667">
        <f>'III. Datos Entrada-BE'!$E$42</f>
        <v>30</v>
      </c>
      <c r="D33" s="668">
        <f>MIN(0.95, MAX(0.104,EXP(15175*(('III. Datos Entrada-BE'!C42+273)-303.16)/(1.987*('III. Datos Entrada-BE'!C42+273)*303.16))))</f>
        <v>0.104</v>
      </c>
      <c r="E33" s="669">
        <f t="shared" si="0"/>
        <v>3.91</v>
      </c>
      <c r="F33" s="668">
        <f>(E33*'III. Datos Entrada-BE'!C89*'III. Datos Entrada-BE'!$C$191*C33*0.8)+G33</f>
        <v>0</v>
      </c>
      <c r="G33" s="670">
        <f>IF('III. Datos Entrada-BE'!$E$164=B32,0,IF('III. Datos Entrada-BE'!$F$164=B32,0,IF('III. Datos Entrada-BE'!$G$164=B32,0,IF('III. Datos Entrada-BE'!$C$164="Sí",0,(F32-H32)))))</f>
        <v>0</v>
      </c>
      <c r="H33" s="668">
        <f t="shared" si="2"/>
        <v>0</v>
      </c>
      <c r="I33" s="34">
        <f>IF('III. Datos Entrada-BE'!D42=0,0,H33*'III. Datos Entrada-BE'!$C$120*0.717*0.001)*('III. Datos Entrada-BE'!G42/'III. Datos Entrada-BE'!E42)</f>
        <v>0</v>
      </c>
      <c r="J33" s="700">
        <f t="shared" si="1"/>
        <v>0</v>
      </c>
    </row>
    <row r="34" spans="1:94" ht="13" thickBot="1" x14ac:dyDescent="0.3">
      <c r="B34" s="553" t="str">
        <f>'III. Datos Entrada-BE'!B43</f>
        <v>diciembre</v>
      </c>
      <c r="C34" s="671">
        <f>'III. Datos Entrada-BE'!$E$43</f>
        <v>31</v>
      </c>
      <c r="D34" s="672">
        <f>MIN(0.95, MAX(0.104,EXP(15175*(('III. Datos Entrada-BE'!C43+273)-303.16)/(1.987*('III. Datos Entrada-BE'!C43+273)*303.16))))</f>
        <v>0.104</v>
      </c>
      <c r="E34" s="673">
        <f t="shared" si="0"/>
        <v>3.91</v>
      </c>
      <c r="F34" s="672">
        <f>(E34*'III. Datos Entrada-BE'!C90*'III. Datos Entrada-BE'!$C$191*C34*0.8)+G34</f>
        <v>0</v>
      </c>
      <c r="G34" s="674">
        <f>IF('III. Datos Entrada-BE'!$E$164=B33,0,IF('III. Datos Entrada-BE'!$F$164=B33,0,IF('III. Datos Entrada-BE'!$G$164=B33,0,IF('III. Datos Entrada-BE'!$C$164="Sí",0,(F33-H33)))))</f>
        <v>0</v>
      </c>
      <c r="H34" s="575">
        <f t="shared" si="2"/>
        <v>0</v>
      </c>
      <c r="I34" s="575">
        <f>IF('III. Datos Entrada-BE'!D43=0,0,H34*'III. Datos Entrada-BE'!$C$120*0.717*0.001)*('III. Datos Entrada-BE'!G43/'III. Datos Entrada-BE'!E43)</f>
        <v>0</v>
      </c>
      <c r="J34" s="700">
        <f t="shared" si="1"/>
        <v>0</v>
      </c>
    </row>
    <row r="35" spans="1:94" s="9" customFormat="1" ht="13.5" thickBot="1" x14ac:dyDescent="0.35">
      <c r="B35" s="27" t="s">
        <v>166</v>
      </c>
      <c r="C35" s="509"/>
      <c r="D35" s="505"/>
      <c r="E35" s="505"/>
      <c r="F35" s="505"/>
      <c r="G35" s="510"/>
      <c r="H35" s="35">
        <f>SUM(H23:H34)</f>
        <v>0</v>
      </c>
      <c r="I35" s="36">
        <f>SUM(I23:I34)</f>
        <v>0</v>
      </c>
      <c r="J35" s="37">
        <f>SUM(J23:J34)</f>
        <v>0</v>
      </c>
      <c r="K35" s="38"/>
      <c r="L35" s="38"/>
      <c r="M35" s="39"/>
      <c r="N35" s="39"/>
      <c r="O35" s="22"/>
      <c r="Q35" s="38"/>
    </row>
    <row r="36" spans="1:94" s="9" customFormat="1" ht="13.5" thickBot="1" x14ac:dyDescent="0.35">
      <c r="B36" s="40"/>
      <c r="C36" s="417"/>
      <c r="D36" s="41"/>
      <c r="E36" s="41"/>
      <c r="F36" s="42"/>
      <c r="G36" s="8"/>
      <c r="H36" s="12"/>
      <c r="I36" s="12"/>
      <c r="J36" s="8"/>
      <c r="K36" s="38"/>
      <c r="L36" s="38"/>
      <c r="M36" s="39"/>
      <c r="N36" s="39"/>
      <c r="O36" s="22"/>
      <c r="Q36" s="38"/>
    </row>
    <row r="37" spans="1:94" ht="26.5" customHeight="1" thickBot="1" x14ac:dyDescent="0.35">
      <c r="B37" s="1232" t="s">
        <v>928</v>
      </c>
      <c r="C37" s="1233"/>
      <c r="D37" s="1233"/>
      <c r="E37" s="1233"/>
      <c r="F37" s="1234"/>
      <c r="G37" s="456">
        <f>IF('III. Datos Entrada-BE'!C$164="Sí",0,IF('III. Datos Entrada-BE'!E$164=B34,0,IF('III. Datos Entrada-BE'!F$164='V. BE CH4-AS'!B34,0,IF('III. Datos Entrada-BE'!G$164='V. BE CH4-AS'!B34,0,F34-H34))))</f>
        <v>0</v>
      </c>
      <c r="K37" s="44"/>
      <c r="L37" s="44"/>
      <c r="M37" s="44"/>
      <c r="N37" s="44"/>
      <c r="O37" s="45"/>
      <c r="P37" s="44"/>
      <c r="Q37" s="44"/>
    </row>
    <row r="38" spans="1:94" ht="128" thickBot="1" x14ac:dyDescent="0.3">
      <c r="G38" s="46" t="s">
        <v>927</v>
      </c>
      <c r="K38" s="44"/>
      <c r="L38" s="44"/>
      <c r="M38" s="44"/>
      <c r="N38" s="44"/>
      <c r="O38" s="45"/>
      <c r="P38" s="44"/>
      <c r="Q38" s="44"/>
    </row>
    <row r="39" spans="1:94" ht="13" thickBot="1" x14ac:dyDescent="0.3">
      <c r="G39" s="47"/>
      <c r="K39" s="44"/>
      <c r="L39" s="44"/>
      <c r="M39" s="44"/>
      <c r="N39" s="44"/>
      <c r="O39" s="45"/>
      <c r="P39" s="44"/>
      <c r="Q39" s="44"/>
    </row>
    <row r="40" spans="1:94" s="48" customFormat="1" ht="13" x14ac:dyDescent="0.3">
      <c r="A40" s="10"/>
      <c r="B40" s="22"/>
      <c r="C40" s="26"/>
      <c r="D40" s="14"/>
      <c r="E40" s="1083" t="s">
        <v>926</v>
      </c>
      <c r="F40" s="1109"/>
      <c r="G40" s="1109"/>
      <c r="H40" s="1109"/>
      <c r="I40" s="1109"/>
      <c r="J40" s="1110"/>
      <c r="K40" s="22"/>
      <c r="L40" s="22"/>
      <c r="M40" s="22"/>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row>
    <row r="41" spans="1:94" s="49" customFormat="1" ht="13" x14ac:dyDescent="0.3">
      <c r="A41" s="2"/>
      <c r="B41" s="9"/>
      <c r="C41" s="26"/>
      <c r="D41" s="3"/>
      <c r="E41" s="1107"/>
      <c r="F41" s="1111"/>
      <c r="G41" s="1111"/>
      <c r="H41" s="1111"/>
      <c r="I41" s="1111"/>
      <c r="J41" s="1112"/>
      <c r="K41" s="22"/>
      <c r="L41" s="22"/>
      <c r="M41" s="22"/>
      <c r="N41" s="2"/>
      <c r="O41" s="10"/>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row>
    <row r="42" spans="1:94" s="49" customFormat="1" ht="13.5" thickBot="1" x14ac:dyDescent="0.35">
      <c r="A42" s="2"/>
      <c r="B42" s="9"/>
      <c r="C42" s="26"/>
      <c r="D42" s="3"/>
      <c r="E42" s="1113"/>
      <c r="F42" s="1114"/>
      <c r="G42" s="1114"/>
      <c r="H42" s="1114"/>
      <c r="I42" s="1114"/>
      <c r="J42" s="1115"/>
      <c r="K42" s="22"/>
      <c r="L42" s="22"/>
      <c r="M42" s="22"/>
      <c r="N42" s="2"/>
      <c r="O42" s="10"/>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row>
    <row r="43" spans="1:94" ht="52" x14ac:dyDescent="0.3">
      <c r="B43" s="23" t="str">
        <f>B19</f>
        <v>Vacas lecheras y no lecheras (en sistemas intensivos) 
Dairy and non-milking dairy cows (in intensive systems)</v>
      </c>
      <c r="C43" s="24">
        <f>'III. Datos Entrada-BE'!B137</f>
        <v>0</v>
      </c>
      <c r="D43" s="25"/>
      <c r="E43" s="12"/>
      <c r="F43" s="12"/>
      <c r="G43" s="12"/>
      <c r="H43" s="12"/>
      <c r="I43" s="12"/>
      <c r="J43" s="12"/>
      <c r="K43" s="20"/>
      <c r="L43" s="20"/>
      <c r="M43" s="20"/>
    </row>
    <row r="44" spans="1:94" ht="15" x14ac:dyDescent="0.4">
      <c r="B44" s="574" t="s">
        <v>158</v>
      </c>
      <c r="C44" s="666">
        <f>C20</f>
        <v>3.91</v>
      </c>
      <c r="E44" s="8"/>
      <c r="F44" s="12"/>
      <c r="G44" s="12"/>
      <c r="H44" s="12"/>
      <c r="I44" s="12"/>
      <c r="J44" s="12"/>
      <c r="K44" s="45"/>
      <c r="L44" s="45"/>
      <c r="O44" s="10"/>
      <c r="P44" s="18"/>
    </row>
    <row r="45" spans="1:94" ht="13.5" thickBot="1" x14ac:dyDescent="0.35">
      <c r="B45" s="27"/>
      <c r="C45" s="415"/>
      <c r="E45" s="8"/>
      <c r="F45" s="12"/>
      <c r="G45" s="12"/>
      <c r="H45" s="12"/>
      <c r="I45" s="12"/>
      <c r="J45" s="12"/>
      <c r="N45" s="9"/>
      <c r="O45" s="10"/>
    </row>
    <row r="46" spans="1:94" ht="27.5" thickBot="1" x14ac:dyDescent="0.45">
      <c r="B46" s="905" t="s">
        <v>442</v>
      </c>
      <c r="C46" s="269" t="s">
        <v>922</v>
      </c>
      <c r="D46" s="59" t="s">
        <v>159</v>
      </c>
      <c r="E46" s="60" t="s">
        <v>160</v>
      </c>
      <c r="F46" s="61" t="s">
        <v>161</v>
      </c>
      <c r="G46" s="60" t="s">
        <v>162</v>
      </c>
      <c r="H46" s="61" t="s">
        <v>163</v>
      </c>
      <c r="I46" s="62" t="s">
        <v>164</v>
      </c>
      <c r="J46" s="63" t="s">
        <v>165</v>
      </c>
    </row>
    <row r="47" spans="1:94" ht="13" thickBot="1" x14ac:dyDescent="0.3">
      <c r="B47" s="29" t="str">
        <f>'III. Datos Entrada-BE'!$B$32</f>
        <v>enero</v>
      </c>
      <c r="C47" s="416">
        <f>'III. Datos Entrada-BE'!$E$32</f>
        <v>31</v>
      </c>
      <c r="D47" s="50">
        <f>MIN(0.95, MAX(0.104, EXP(15175*(('III. Datos Entrada-BE'!C32+273)-303.16)/(1.987*('III. Datos Entrada-BE'!C32+273)*303.16))))</f>
        <v>0.104</v>
      </c>
      <c r="E47" s="51">
        <f t="shared" ref="E47:E58" si="3">$C$44</f>
        <v>3.91</v>
      </c>
      <c r="F47" s="50">
        <f>(E47*'III. Datos Entrada-BE'!C79*'III. Datos Entrada-BE'!$C$192*C47*0.8)+G47</f>
        <v>0</v>
      </c>
      <c r="G47" s="32"/>
      <c r="H47" s="31">
        <f>F47*D47</f>
        <v>0</v>
      </c>
      <c r="I47" s="31">
        <f>IF('III. Datos Entrada-BE'!D32=0,0,H47*'III. Datos Entrada-BE'!$C$120*0.717*0.001)*('III. Datos Entrada-BE'!G32/'III. Datos Entrada-BE'!E32)</f>
        <v>0</v>
      </c>
      <c r="J47" s="700">
        <f t="shared" ref="J47:J58" si="4">I47*PCG</f>
        <v>0</v>
      </c>
    </row>
    <row r="48" spans="1:94" ht="13" thickBot="1" x14ac:dyDescent="0.3">
      <c r="B48" s="529" t="str">
        <f>'III. Datos Entrada-BE'!$B$33</f>
        <v>febrero</v>
      </c>
      <c r="C48" s="667">
        <f>'III. Datos Entrada-BE'!$E$33</f>
        <v>28</v>
      </c>
      <c r="D48" s="675">
        <f>MIN(0.95, MAX(0.104, EXP(15175*(('III. Datos Entrada-BE'!C33+273)-303.16)/(1.987*('III. Datos Entrada-BE'!C33+273)*303.16))))</f>
        <v>0.104</v>
      </c>
      <c r="E48" s="620">
        <f t="shared" si="3"/>
        <v>3.91</v>
      </c>
      <c r="F48" s="675">
        <f>(E48*'III. Datos Entrada-BE'!C80*'III. Datos Entrada-BE'!$C$192*C48*0.8)+G48</f>
        <v>0</v>
      </c>
      <c r="G48" s="670">
        <f>IF('III. Datos Entrada-BE'!$E$165=B47,0,IF('III. Datos Entrada-BE'!$F$165=B47,0,IF('III. Datos Entrada-BE'!$G$165=B47,0,IF('III. Datos Entrada-BE'!$C$165="Sí",0,(F47-H47)))))</f>
        <v>0</v>
      </c>
      <c r="H48" s="668">
        <f t="shared" ref="H48:H58" si="5">F48*D48</f>
        <v>0</v>
      </c>
      <c r="I48" s="668">
        <f>IF('III. Datos Entrada-BE'!D33=0,0,H48*'III. Datos Entrada-BE'!$C$120*0.717*0.001)*('III. Datos Entrada-BE'!G33/'III. Datos Entrada-BE'!E33)</f>
        <v>0</v>
      </c>
      <c r="J48" s="700">
        <f t="shared" si="4"/>
        <v>0</v>
      </c>
    </row>
    <row r="49" spans="1:94" ht="13" thickBot="1" x14ac:dyDescent="0.3">
      <c r="B49" s="529" t="str">
        <f>'III. Datos Entrada-BE'!$B$34</f>
        <v>marzo</v>
      </c>
      <c r="C49" s="667">
        <f>'III. Datos Entrada-BE'!$E$34</f>
        <v>31</v>
      </c>
      <c r="D49" s="675">
        <f>MIN(0.95, MAX(0.104, EXP(15175*(('III. Datos Entrada-BE'!C34+273)-303.16)/(1.987*('III. Datos Entrada-BE'!C34+273)*303.16))))</f>
        <v>0.104</v>
      </c>
      <c r="E49" s="620">
        <f t="shared" si="3"/>
        <v>3.91</v>
      </c>
      <c r="F49" s="675">
        <f>(E49*'III. Datos Entrada-BE'!C81*'III. Datos Entrada-BE'!$C$192*C49*0.8)+G49</f>
        <v>0</v>
      </c>
      <c r="G49" s="670">
        <f>IF('III. Datos Entrada-BE'!$E$165=B48,0,IF('III. Datos Entrada-BE'!$F$165=B48,0,IF('III. Datos Entrada-BE'!$G$165=B48,0,IF('III. Datos Entrada-BE'!$C$165="Sí",0,(F48-H48)))))</f>
        <v>0</v>
      </c>
      <c r="H49" s="668">
        <f t="shared" si="5"/>
        <v>0</v>
      </c>
      <c r="I49" s="668">
        <f>IF('III. Datos Entrada-BE'!D34=0,0,H49*'III. Datos Entrada-BE'!$C$120*0.717*0.001)*('III. Datos Entrada-BE'!G34/'III. Datos Entrada-BE'!E34)</f>
        <v>0</v>
      </c>
      <c r="J49" s="700">
        <f t="shared" si="4"/>
        <v>0</v>
      </c>
    </row>
    <row r="50" spans="1:94" ht="13" thickBot="1" x14ac:dyDescent="0.3">
      <c r="B50" s="529" t="str">
        <f>'III. Datos Entrada-BE'!$B$35</f>
        <v>abril</v>
      </c>
      <c r="C50" s="667">
        <f>'III. Datos Entrada-BE'!$E$35</f>
        <v>30</v>
      </c>
      <c r="D50" s="675">
        <f>MIN(0.95, MAX(0.104, EXP(15175*(('III. Datos Entrada-BE'!C35+273)-303.16)/(1.987*('III. Datos Entrada-BE'!C35+273)*303.16))))</f>
        <v>0.104</v>
      </c>
      <c r="E50" s="620">
        <f t="shared" si="3"/>
        <v>3.91</v>
      </c>
      <c r="F50" s="675">
        <f>(E50*'III. Datos Entrada-BE'!C82*'III. Datos Entrada-BE'!$C$192*C50*0.8)+G50</f>
        <v>0</v>
      </c>
      <c r="G50" s="670">
        <f>IF('III. Datos Entrada-BE'!$E$165=B49,0,IF('III. Datos Entrada-BE'!$F$165=B49,0,IF('III. Datos Entrada-BE'!$G$165=B49,0,IF('III. Datos Entrada-BE'!$C$165="Sí",0,(F49-H49)))))</f>
        <v>0</v>
      </c>
      <c r="H50" s="668">
        <f t="shared" si="5"/>
        <v>0</v>
      </c>
      <c r="I50" s="668">
        <f>IF('III. Datos Entrada-BE'!D35=0,0,H50*'III. Datos Entrada-BE'!$C$120*0.717*0.001)*('III. Datos Entrada-BE'!G35/'III. Datos Entrada-BE'!E35)</f>
        <v>0</v>
      </c>
      <c r="J50" s="700">
        <f t="shared" si="4"/>
        <v>0</v>
      </c>
    </row>
    <row r="51" spans="1:94" ht="13" thickBot="1" x14ac:dyDescent="0.3">
      <c r="B51" s="529" t="str">
        <f>'III. Datos Entrada-BE'!$B$36</f>
        <v>mayo</v>
      </c>
      <c r="C51" s="667">
        <f>'III. Datos Entrada-BE'!$E$36</f>
        <v>31</v>
      </c>
      <c r="D51" s="675">
        <f>MIN(0.95, MAX(0.104, EXP(15175*(('III. Datos Entrada-BE'!C36+273)-303.16)/(1.987*('III. Datos Entrada-BE'!C36+273)*303.16))))</f>
        <v>0.104</v>
      </c>
      <c r="E51" s="620">
        <f t="shared" si="3"/>
        <v>3.91</v>
      </c>
      <c r="F51" s="675">
        <f>(E51*'III. Datos Entrada-BE'!C83*'III. Datos Entrada-BE'!$C$192*C51*0.8)+G51</f>
        <v>0</v>
      </c>
      <c r="G51" s="670">
        <f>IF('III. Datos Entrada-BE'!$E$165=B50,0,IF('III. Datos Entrada-BE'!$F$165=B50,0,IF('III. Datos Entrada-BE'!$G$165=B50,0,IF('III. Datos Entrada-BE'!$C$165="Sí",0,(F50-H50)))))</f>
        <v>0</v>
      </c>
      <c r="H51" s="668">
        <f t="shared" si="5"/>
        <v>0</v>
      </c>
      <c r="I51" s="668">
        <f>IF('III. Datos Entrada-BE'!D36=0,0,H51*'III. Datos Entrada-BE'!$C$120*0.717*0.001)*('III. Datos Entrada-BE'!G36/'III. Datos Entrada-BE'!E36)</f>
        <v>0</v>
      </c>
      <c r="J51" s="700">
        <f t="shared" si="4"/>
        <v>0</v>
      </c>
    </row>
    <row r="52" spans="1:94" s="9" customFormat="1" ht="13.5" thickBot="1" x14ac:dyDescent="0.35">
      <c r="B52" s="529" t="str">
        <f>'III. Datos Entrada-BE'!$B$37</f>
        <v>junio</v>
      </c>
      <c r="C52" s="667">
        <f>'III. Datos Entrada-BE'!$E$37</f>
        <v>30</v>
      </c>
      <c r="D52" s="675">
        <f>MIN(0.95, MAX(0.104, EXP(15175*(('III. Datos Entrada-BE'!C37+273)-303.16)/(1.987*('III. Datos Entrada-BE'!C37+273)*303.16))))</f>
        <v>0.104</v>
      </c>
      <c r="E52" s="620">
        <f t="shared" si="3"/>
        <v>3.91</v>
      </c>
      <c r="F52" s="675">
        <f>(E52*'III. Datos Entrada-BE'!C84*'III. Datos Entrada-BE'!$C$192*C52*0.8)+G52</f>
        <v>0</v>
      </c>
      <c r="G52" s="670">
        <f>IF('III. Datos Entrada-BE'!$E$165=B51,0,IF('III. Datos Entrada-BE'!$F$165=B51,0,IF('III. Datos Entrada-BE'!$G$165=B51,0,IF('III. Datos Entrada-BE'!$C$165="Sí",0,(F51-H51)))))</f>
        <v>0</v>
      </c>
      <c r="H52" s="668">
        <f t="shared" si="5"/>
        <v>0</v>
      </c>
      <c r="I52" s="668">
        <f>IF('III. Datos Entrada-BE'!D37=0,0,H52*'III. Datos Entrada-BE'!$C$120*0.717*0.001)*('III. Datos Entrada-BE'!G37/'III. Datos Entrada-BE'!E37)</f>
        <v>0</v>
      </c>
      <c r="J52" s="700">
        <f t="shared" si="4"/>
        <v>0</v>
      </c>
      <c r="K52" s="38"/>
      <c r="L52" s="38"/>
      <c r="M52" s="39"/>
    </row>
    <row r="53" spans="1:94" ht="13" thickBot="1" x14ac:dyDescent="0.3">
      <c r="B53" s="529" t="str">
        <f>'III. Datos Entrada-BE'!$B$38</f>
        <v>julio</v>
      </c>
      <c r="C53" s="667">
        <f>'III. Datos Entrada-BE'!$E$38</f>
        <v>31</v>
      </c>
      <c r="D53" s="675">
        <f>MIN(0.95, MAX(0.104, EXP(15175*(('III. Datos Entrada-BE'!C38+273)-303.16)/(1.987*('III. Datos Entrada-BE'!C38+273)*303.16))))</f>
        <v>0.104</v>
      </c>
      <c r="E53" s="620">
        <f t="shared" si="3"/>
        <v>3.91</v>
      </c>
      <c r="F53" s="675">
        <f>(E53*'III. Datos Entrada-BE'!C85*'III. Datos Entrada-BE'!$C$192*C53*0.8)+G53</f>
        <v>0</v>
      </c>
      <c r="G53" s="670">
        <f>IF('III. Datos Entrada-BE'!$E$165=B52,0,IF('III. Datos Entrada-BE'!$F$165=B52,0,IF('III. Datos Entrada-BE'!$G$165=B52,0,IF('III. Datos Entrada-BE'!$C$165="Sí",0,(F52-H52)))))</f>
        <v>0</v>
      </c>
      <c r="H53" s="668">
        <f t="shared" si="5"/>
        <v>0</v>
      </c>
      <c r="I53" s="668">
        <f>IF('III. Datos Entrada-BE'!D38=0,0,H53*'III. Datos Entrada-BE'!$C$120*0.717*0.001)*('III. Datos Entrada-BE'!G38/'III. Datos Entrada-BE'!E38)</f>
        <v>0</v>
      </c>
      <c r="J53" s="700">
        <f t="shared" si="4"/>
        <v>0</v>
      </c>
    </row>
    <row r="54" spans="1:94" s="10" customFormat="1" ht="13.5" thickBot="1" x14ac:dyDescent="0.35">
      <c r="B54" s="529" t="str">
        <f>'III. Datos Entrada-BE'!$B$39</f>
        <v>agosto</v>
      </c>
      <c r="C54" s="667">
        <f>'III. Datos Entrada-BE'!$E$39</f>
        <v>31</v>
      </c>
      <c r="D54" s="675">
        <f>MIN(0.95, MAX(0.104, EXP(15175*(('III. Datos Entrada-BE'!C39+273)-303.16)/(1.987*('III. Datos Entrada-BE'!C39+273)*303.16))))</f>
        <v>0.104</v>
      </c>
      <c r="E54" s="620">
        <f t="shared" si="3"/>
        <v>3.91</v>
      </c>
      <c r="F54" s="675">
        <f>(E54*'III. Datos Entrada-BE'!C86*'III. Datos Entrada-BE'!$C$192*C54*0.8)+G54</f>
        <v>0</v>
      </c>
      <c r="G54" s="670">
        <f>IF('III. Datos Entrada-BE'!$E$165=B53,0,IF('III. Datos Entrada-BE'!$F$165=B53,0,IF('III. Datos Entrada-BE'!$G$165=B53,0,IF('III. Datos Entrada-BE'!$C$165="Sí",0,(F53-H53)))))</f>
        <v>0</v>
      </c>
      <c r="H54" s="668">
        <f t="shared" si="5"/>
        <v>0</v>
      </c>
      <c r="I54" s="668">
        <f>IF('III. Datos Entrada-BE'!D39=0,0,H54*'III. Datos Entrada-BE'!$C$120*0.717*0.001)*('III. Datos Entrada-BE'!G39/'III. Datos Entrada-BE'!E39)</f>
        <v>0</v>
      </c>
      <c r="J54" s="700">
        <f t="shared" si="4"/>
        <v>0</v>
      </c>
      <c r="K54" s="22"/>
      <c r="L54" s="22"/>
      <c r="M54" s="22"/>
      <c r="O54" s="22"/>
      <c r="P54" s="53"/>
      <c r="Q54" s="53"/>
      <c r="R54" s="53"/>
    </row>
    <row r="55" spans="1:94" ht="13.5" thickBot="1" x14ac:dyDescent="0.35">
      <c r="B55" s="529" t="str">
        <f>'III. Datos Entrada-BE'!$B$40</f>
        <v>septiembre</v>
      </c>
      <c r="C55" s="667">
        <f>'III. Datos Entrada-BE'!$E$40</f>
        <v>30</v>
      </c>
      <c r="D55" s="675">
        <f>MIN(0.95, MAX(0.104, EXP(15175*(('III. Datos Entrada-BE'!C40+273)-303.16)/(1.987*('III. Datos Entrada-BE'!C40+273)*303.16))))</f>
        <v>0.104</v>
      </c>
      <c r="E55" s="620">
        <f t="shared" si="3"/>
        <v>3.91</v>
      </c>
      <c r="F55" s="675">
        <f>(E55*'III. Datos Entrada-BE'!C87*'III. Datos Entrada-BE'!$C$192*C55*0.8)+G55</f>
        <v>0</v>
      </c>
      <c r="G55" s="670">
        <f>IF('III. Datos Entrada-BE'!$E$165=B54,0,IF('III. Datos Entrada-BE'!$F$165=B54,0,IF('III. Datos Entrada-BE'!$G$165=B54,0,IF('III. Datos Entrada-BE'!$C$165="Sí",0,(F54-H54)))))</f>
        <v>0</v>
      </c>
      <c r="H55" s="668">
        <f t="shared" si="5"/>
        <v>0</v>
      </c>
      <c r="I55" s="668">
        <f>IF('III. Datos Entrada-BE'!D40=0,0,H55*'III. Datos Entrada-BE'!$C$120*0.717*0.001)*('III. Datos Entrada-BE'!G40/'III. Datos Entrada-BE'!E40)</f>
        <v>0</v>
      </c>
      <c r="J55" s="700">
        <f t="shared" si="4"/>
        <v>0</v>
      </c>
      <c r="K55" s="22"/>
      <c r="L55" s="22"/>
      <c r="M55" s="22"/>
      <c r="O55" s="22"/>
      <c r="P55" s="20"/>
      <c r="Q55" s="20"/>
      <c r="R55" s="20"/>
    </row>
    <row r="56" spans="1:94" ht="13.5" thickBot="1" x14ac:dyDescent="0.35">
      <c r="B56" s="529" t="str">
        <f>'III. Datos Entrada-BE'!$B$41</f>
        <v>octubre</v>
      </c>
      <c r="C56" s="667">
        <f>'III. Datos Entrada-BE'!$E$41</f>
        <v>31</v>
      </c>
      <c r="D56" s="675">
        <f>MIN(0.95, MAX(0.104, EXP(15175*(('III. Datos Entrada-BE'!C41+273)-303.16)/(1.987*('III. Datos Entrada-BE'!C41+273)*303.16))))</f>
        <v>0.104</v>
      </c>
      <c r="E56" s="620">
        <f t="shared" si="3"/>
        <v>3.91</v>
      </c>
      <c r="F56" s="675">
        <f>(E56*'III. Datos Entrada-BE'!C88*'III. Datos Entrada-BE'!$C$192*C56*0.8)+G56</f>
        <v>0</v>
      </c>
      <c r="G56" s="670">
        <f>IF('III. Datos Entrada-BE'!$E$165=B55,0,IF('III. Datos Entrada-BE'!$F$165=B55,0,IF('III. Datos Entrada-BE'!$G$165=B55,0,IF('III. Datos Entrada-BE'!$C$165="Sí",0,(F55-H55)))))</f>
        <v>0</v>
      </c>
      <c r="H56" s="668">
        <f t="shared" si="5"/>
        <v>0</v>
      </c>
      <c r="I56" s="668">
        <f>IF('III. Datos Entrada-BE'!D41=0,0,H56*'III. Datos Entrada-BE'!$C$120*0.717*0.001)*('III. Datos Entrada-BE'!G41/'III. Datos Entrada-BE'!E41)</f>
        <v>0</v>
      </c>
      <c r="J56" s="700">
        <f t="shared" si="4"/>
        <v>0</v>
      </c>
      <c r="K56" s="22"/>
      <c r="L56" s="22"/>
      <c r="M56" s="22"/>
      <c r="O56" s="22"/>
      <c r="P56" s="20"/>
      <c r="Q56" s="20"/>
      <c r="R56" s="20"/>
    </row>
    <row r="57" spans="1:94" ht="13" thickBot="1" x14ac:dyDescent="0.3">
      <c r="B57" s="529" t="str">
        <f>'III. Datos Entrada-BE'!$B$42</f>
        <v>noviembre</v>
      </c>
      <c r="C57" s="667">
        <f>'III. Datos Entrada-BE'!$E$42</f>
        <v>30</v>
      </c>
      <c r="D57" s="675">
        <f>MIN(0.95, MAX(0.104, EXP(15175*(('III. Datos Entrada-BE'!C42+273)-303.16)/(1.987*('III. Datos Entrada-BE'!C42+273)*303.16))))</f>
        <v>0.104</v>
      </c>
      <c r="E57" s="620">
        <f t="shared" si="3"/>
        <v>3.91</v>
      </c>
      <c r="F57" s="675">
        <f>(E57*'III. Datos Entrada-BE'!C89*'III. Datos Entrada-BE'!$C$192*C57*0.8)+G57</f>
        <v>0</v>
      </c>
      <c r="G57" s="670">
        <f>IF('III. Datos Entrada-BE'!$E$165=B56,0,IF('III. Datos Entrada-BE'!$F$165=B56,0,IF('III. Datos Entrada-BE'!$G$165=B56,0,IF('III. Datos Entrada-BE'!$C$165="Sí",0,(F56-H56)))))</f>
        <v>0</v>
      </c>
      <c r="H57" s="668">
        <f t="shared" si="5"/>
        <v>0</v>
      </c>
      <c r="I57" s="668">
        <f>IF('III. Datos Entrada-BE'!D42=0,0,H57*'III. Datos Entrada-BE'!$C$120*0.717*0.001)*('III. Datos Entrada-BE'!G42/'III. Datos Entrada-BE'!E42)</f>
        <v>0</v>
      </c>
      <c r="J57" s="700">
        <f t="shared" si="4"/>
        <v>0</v>
      </c>
      <c r="K57" s="20"/>
      <c r="L57" s="20"/>
      <c r="M57" s="20"/>
    </row>
    <row r="58" spans="1:94" ht="13" thickBot="1" x14ac:dyDescent="0.3">
      <c r="B58" s="553" t="str">
        <f>'III. Datos Entrada-BE'!$B$43</f>
        <v>diciembre</v>
      </c>
      <c r="C58" s="671">
        <f>'III. Datos Entrada-BE'!$E$43</f>
        <v>31</v>
      </c>
      <c r="D58" s="677">
        <f>MIN(0.95, MAX(0.104, EXP(15175*(('III. Datos Entrada-BE'!C43+273)-303.16)/(1.987*('III. Datos Entrada-BE'!C43+273)*303.16))))</f>
        <v>0.104</v>
      </c>
      <c r="E58" s="678">
        <f t="shared" si="3"/>
        <v>3.91</v>
      </c>
      <c r="F58" s="677">
        <f>(E58*'III. Datos Entrada-BE'!C90*'III. Datos Entrada-BE'!$C$192*C58*0.8)+G58</f>
        <v>0</v>
      </c>
      <c r="G58" s="670">
        <f>IF('III. Datos Entrada-BE'!$E$165=B57,0,IF('III. Datos Entrada-BE'!$F$165=B57,0,IF('III. Datos Entrada-BE'!$G$165=B57,0,IF('III. Datos Entrada-BE'!$C$165="Sí",0,(F57-H57)))))</f>
        <v>0</v>
      </c>
      <c r="H58" s="575">
        <f t="shared" si="5"/>
        <v>0</v>
      </c>
      <c r="I58" s="575">
        <f>IF('III. Datos Entrada-BE'!D43=0,0,H58*'III. Datos Entrada-BE'!$C$120*0.717*0.001)*('III. Datos Entrada-BE'!G43/'III. Datos Entrada-BE'!E43)</f>
        <v>0</v>
      </c>
      <c r="J58" s="700">
        <f t="shared" si="4"/>
        <v>0</v>
      </c>
      <c r="K58" s="45"/>
      <c r="L58" s="45"/>
    </row>
    <row r="59" spans="1:94" ht="13.5" thickBot="1" x14ac:dyDescent="0.35">
      <c r="B59" s="27" t="s">
        <v>167</v>
      </c>
      <c r="C59" s="504"/>
      <c r="D59" s="505"/>
      <c r="E59" s="505"/>
      <c r="F59" s="506"/>
      <c r="G59" s="507"/>
      <c r="H59" s="906">
        <f>SUM(H47:H58)</f>
        <v>0</v>
      </c>
      <c r="I59" s="376">
        <f>SUM(I47:I58)</f>
        <v>0</v>
      </c>
      <c r="J59" s="54">
        <f>SUM(J47:J58)</f>
        <v>0</v>
      </c>
    </row>
    <row r="60" spans="1:94" ht="13.5" thickBot="1" x14ac:dyDescent="0.35">
      <c r="B60" s="9"/>
      <c r="C60" s="70"/>
      <c r="D60" s="12"/>
      <c r="E60" s="12"/>
      <c r="F60" s="8"/>
      <c r="G60" s="8"/>
      <c r="H60" s="12"/>
      <c r="I60" s="12"/>
      <c r="J60" s="8"/>
    </row>
    <row r="61" spans="1:94" ht="31" customHeight="1" thickBot="1" x14ac:dyDescent="0.35">
      <c r="B61" s="1232" t="s">
        <v>928</v>
      </c>
      <c r="C61" s="1233"/>
      <c r="D61" s="1233"/>
      <c r="E61" s="1233"/>
      <c r="F61" s="1234"/>
      <c r="G61" s="456">
        <f>IF('III. Datos Entrada-BE'!C$165="Sí",0,IF('III. Datos Entrada-BE'!E$165=B58,0,IF('III. Datos Entrada-BE'!F$165='V. BE CH4-AS'!B58,0,IF('III. Datos Entrada-BE'!G$165='V. BE CH4-AS'!B58,0,F58-H58))))</f>
        <v>0</v>
      </c>
      <c r="H61" s="12"/>
      <c r="I61" s="12"/>
      <c r="J61" s="8"/>
    </row>
    <row r="62" spans="1:94" ht="128" thickBot="1" x14ac:dyDescent="0.35">
      <c r="G62" s="46" t="s">
        <v>927</v>
      </c>
      <c r="H62" s="12"/>
      <c r="I62" s="12"/>
      <c r="J62" s="8"/>
    </row>
    <row r="63" spans="1:94" ht="13" thickBot="1" x14ac:dyDescent="0.3"/>
    <row r="64" spans="1:94" s="49" customFormat="1" ht="12" customHeight="1" x14ac:dyDescent="0.3">
      <c r="A64" s="2"/>
      <c r="B64" s="22"/>
      <c r="C64" s="26"/>
      <c r="D64" s="14"/>
      <c r="E64" s="1083" t="s">
        <v>926</v>
      </c>
      <c r="F64" s="1109"/>
      <c r="G64" s="1109"/>
      <c r="H64" s="1109"/>
      <c r="I64" s="1109"/>
      <c r="J64" s="1110"/>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row>
    <row r="65" spans="1:94" s="49" customFormat="1" ht="13" x14ac:dyDescent="0.3">
      <c r="A65" s="2"/>
      <c r="B65" s="9"/>
      <c r="C65" s="53"/>
      <c r="D65" s="3"/>
      <c r="E65" s="1107"/>
      <c r="F65" s="1111"/>
      <c r="G65" s="1111"/>
      <c r="H65" s="1111"/>
      <c r="I65" s="1111"/>
      <c r="J65" s="111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row>
    <row r="66" spans="1:94" s="49" customFormat="1" ht="13.5" thickBot="1" x14ac:dyDescent="0.35">
      <c r="A66" s="2"/>
      <c r="B66" s="9"/>
      <c r="C66" s="53"/>
      <c r="D66" s="3"/>
      <c r="E66" s="1113"/>
      <c r="F66" s="1114"/>
      <c r="G66" s="1114"/>
      <c r="H66" s="1114"/>
      <c r="I66" s="1114"/>
      <c r="J66" s="1115"/>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row>
    <row r="67" spans="1:94" ht="52" x14ac:dyDescent="0.3">
      <c r="B67" s="23" t="str">
        <f>'III. Datos Entrada-BE'!$C$54</f>
        <v>Novillos/Novillos (en sistemas intensivos) 
Heifers/Steers (in intensive systems)</v>
      </c>
      <c r="C67" s="24">
        <f>'III. Datos Entrada-BE'!B136</f>
        <v>0</v>
      </c>
      <c r="D67" s="55"/>
      <c r="E67" s="12"/>
      <c r="F67" s="12"/>
      <c r="G67" s="12"/>
      <c r="H67" s="12"/>
      <c r="I67" s="12"/>
      <c r="J67" s="12"/>
    </row>
    <row r="68" spans="1:94" ht="15.5" thickBot="1" x14ac:dyDescent="0.45">
      <c r="B68" s="574" t="s">
        <v>158</v>
      </c>
      <c r="C68" s="418">
        <f>'III. Datos Entrada-BE'!D105</f>
        <v>2.86</v>
      </c>
      <c r="D68" s="56"/>
      <c r="E68" s="8"/>
      <c r="F68" s="12"/>
      <c r="G68" s="12"/>
      <c r="H68" s="12"/>
      <c r="I68" s="12"/>
      <c r="J68" s="12"/>
    </row>
    <row r="69" spans="1:94" ht="13.5" thickBot="1" x14ac:dyDescent="0.35">
      <c r="B69" s="57"/>
      <c r="C69" s="419"/>
      <c r="E69" s="8"/>
      <c r="F69" s="12"/>
      <c r="G69" s="12"/>
      <c r="H69" s="12"/>
      <c r="I69" s="12"/>
      <c r="J69" s="12"/>
    </row>
    <row r="70" spans="1:94" ht="27.5" thickBot="1" x14ac:dyDescent="0.45">
      <c r="B70" s="905" t="s">
        <v>442</v>
      </c>
      <c r="C70" s="269" t="s">
        <v>922</v>
      </c>
      <c r="D70" s="59" t="s">
        <v>159</v>
      </c>
      <c r="E70" s="60" t="s">
        <v>160</v>
      </c>
      <c r="F70" s="61" t="s">
        <v>161</v>
      </c>
      <c r="G70" s="60" t="s">
        <v>162</v>
      </c>
      <c r="H70" s="61" t="s">
        <v>163</v>
      </c>
      <c r="I70" s="62" t="s">
        <v>164</v>
      </c>
      <c r="J70" s="63" t="s">
        <v>165</v>
      </c>
    </row>
    <row r="71" spans="1:94" s="10" customFormat="1" ht="13" thickBot="1" x14ac:dyDescent="0.3">
      <c r="B71" s="29" t="str">
        <f>'III. Datos Entrada-BE'!$B$32</f>
        <v>enero</v>
      </c>
      <c r="C71" s="416">
        <f>'III. Datos Entrada-BE'!$E$32</f>
        <v>31</v>
      </c>
      <c r="D71" s="50">
        <f>MIN(0.95, MAX(0.104,EXP(15175*(('III. Datos Entrada-BE'!C32+273)-303.16)/(1.987*('III. Datos Entrada-BE'!C32+273)*303.16))))</f>
        <v>0.104</v>
      </c>
      <c r="E71" s="51">
        <f>$C$44</f>
        <v>3.91</v>
      </c>
      <c r="F71" s="50">
        <f>(E71*'III. Datos Entrada-BE'!D79*'III. Datos Entrada-BE'!$D$191*C71*0.8)+G71</f>
        <v>0</v>
      </c>
      <c r="G71" s="32"/>
      <c r="H71" s="31">
        <f>F71*D71</f>
        <v>0</v>
      </c>
      <c r="I71" s="668">
        <f>IF('III. Datos Entrada-BE'!E59=0,0,H71*'III. Datos Entrada-BE'!$C$120*0.717*0.001)*('III. Datos Entrada-BE'!G32/'III. Datos Entrada-BE'!E32)</f>
        <v>0</v>
      </c>
      <c r="J71" s="700">
        <f t="shared" ref="J71:J82" si="6">I71*PCG</f>
        <v>0</v>
      </c>
      <c r="K71" s="45"/>
      <c r="L71" s="45"/>
      <c r="M71" s="45"/>
      <c r="N71" s="45"/>
      <c r="O71" s="45"/>
      <c r="P71" s="45"/>
      <c r="Q71" s="45"/>
    </row>
    <row r="72" spans="1:94" ht="13.5" thickBot="1" x14ac:dyDescent="0.35">
      <c r="B72" s="529" t="str">
        <f>'III. Datos Entrada-BE'!$B$33</f>
        <v>febrero</v>
      </c>
      <c r="C72" s="667">
        <f>'III. Datos Entrada-BE'!$E$33</f>
        <v>28</v>
      </c>
      <c r="D72" s="675">
        <f>MIN(0.95, MAX(0.104, EXP(15175*(('III. Datos Entrada-BE'!C33+273)-303.16)/(1.987*('III. Datos Entrada-BE'!C33+273)*303.16))))</f>
        <v>0.104</v>
      </c>
      <c r="E72" s="620">
        <f t="shared" ref="E72:E81" si="7">$C$68</f>
        <v>2.86</v>
      </c>
      <c r="F72" s="675">
        <f>(E72*'III. Datos Entrada-BE'!D80*'III. Datos Entrada-BE'!$D$191*C72*0.8)+G72</f>
        <v>0</v>
      </c>
      <c r="G72" s="670">
        <f>IF('III. Datos Entrada-BE'!$E$164=B71,0,IF('III. Datos Entrada-BE'!$F$164=B71,0,IF('III. Datos Entrada-BE'!$G$164=B71,0,IF('III. Datos Entrada-BE'!$C$164="Sí",0,(F71-H71)))))</f>
        <v>0</v>
      </c>
      <c r="H72" s="668">
        <f t="shared" ref="H72:H82" si="8">F72*D72</f>
        <v>0</v>
      </c>
      <c r="I72" s="668">
        <f>IF('III. Datos Entrada-BE'!E60=0,0,H72*'III. Datos Entrada-BE'!$C$120*0.717*0.001)*('III. Datos Entrada-BE'!G33/'III. Datos Entrada-BE'!E33)</f>
        <v>0</v>
      </c>
      <c r="J72" s="700">
        <f t="shared" si="6"/>
        <v>0</v>
      </c>
      <c r="K72" s="22"/>
      <c r="L72" s="22"/>
      <c r="M72" s="22"/>
      <c r="O72" s="10"/>
    </row>
    <row r="73" spans="1:94" ht="13.5" thickBot="1" x14ac:dyDescent="0.35">
      <c r="B73" s="529" t="str">
        <f>'III. Datos Entrada-BE'!$B$34</f>
        <v>marzo</v>
      </c>
      <c r="C73" s="667">
        <f>'III. Datos Entrada-BE'!$E$34</f>
        <v>31</v>
      </c>
      <c r="D73" s="675">
        <f>MIN(0.95, MAX(0.104, EXP(15175*(('III. Datos Entrada-BE'!C34+273)-303.16)/(1.987*('III. Datos Entrada-BE'!C34+273)*303.16))))</f>
        <v>0.104</v>
      </c>
      <c r="E73" s="620">
        <f t="shared" si="7"/>
        <v>2.86</v>
      </c>
      <c r="F73" s="675">
        <f>(E73*'III. Datos Entrada-BE'!D81*'III. Datos Entrada-BE'!$D$191*C73*0.8)+G73</f>
        <v>0</v>
      </c>
      <c r="G73" s="670">
        <f>IF('III. Datos Entrada-BE'!$E$164=B72,0,IF('III. Datos Entrada-BE'!$F$164=B72,0,IF('III. Datos Entrada-BE'!$G$164=B72,0,IF('III. Datos Entrada-BE'!$C$164="Sí",0,(F72-H72)))))</f>
        <v>0</v>
      </c>
      <c r="H73" s="668">
        <f t="shared" si="8"/>
        <v>0</v>
      </c>
      <c r="I73" s="668">
        <f>IF('III. Datos Entrada-BE'!E61=0,0,H73*'III. Datos Entrada-BE'!$C$120*0.717*0.001)*('III. Datos Entrada-BE'!G34/'III. Datos Entrada-BE'!E34)</f>
        <v>0</v>
      </c>
      <c r="J73" s="700">
        <f t="shared" si="6"/>
        <v>0</v>
      </c>
      <c r="K73" s="22"/>
      <c r="L73" s="22"/>
      <c r="M73" s="22"/>
      <c r="O73" s="10"/>
    </row>
    <row r="74" spans="1:94" ht="13" thickBot="1" x14ac:dyDescent="0.3">
      <c r="B74" s="529" t="str">
        <f>'III. Datos Entrada-BE'!$B$35</f>
        <v>abril</v>
      </c>
      <c r="C74" s="667">
        <f>'III. Datos Entrada-BE'!$E$35</f>
        <v>30</v>
      </c>
      <c r="D74" s="675">
        <f>MIN(0.95, MAX(0.104, EXP(15175*(('III. Datos Entrada-BE'!C35+273)-303.16)/(1.987*('III. Datos Entrada-BE'!C35+273)*303.16))))</f>
        <v>0.104</v>
      </c>
      <c r="E74" s="620">
        <f t="shared" si="7"/>
        <v>2.86</v>
      </c>
      <c r="F74" s="675">
        <f>(E74*'III. Datos Entrada-BE'!D82*'III. Datos Entrada-BE'!$D$191*C74*0.8)+G74</f>
        <v>0</v>
      </c>
      <c r="G74" s="670">
        <f>IF('III. Datos Entrada-BE'!$E$164=B73,0,IF('III. Datos Entrada-BE'!$F$164=B73,0,IF('III. Datos Entrada-BE'!$G$164=B73,0,IF('III. Datos Entrada-BE'!$C$164="Sí",0,(F73-H73)))))</f>
        <v>0</v>
      </c>
      <c r="H74" s="668">
        <f t="shared" si="8"/>
        <v>0</v>
      </c>
      <c r="I74" s="668">
        <f>IF('III. Datos Entrada-BE'!E62=0,0,H74*'III. Datos Entrada-BE'!$C$120*0.717*0.001)*('III. Datos Entrada-BE'!G35/'III. Datos Entrada-BE'!E35)</f>
        <v>0</v>
      </c>
      <c r="J74" s="700">
        <f t="shared" si="6"/>
        <v>0</v>
      </c>
      <c r="K74" s="20"/>
      <c r="L74" s="20"/>
      <c r="M74" s="20"/>
    </row>
    <row r="75" spans="1:94" ht="13" thickBot="1" x14ac:dyDescent="0.3">
      <c r="B75" s="529" t="str">
        <f>'III. Datos Entrada-BE'!$B$36</f>
        <v>mayo</v>
      </c>
      <c r="C75" s="667">
        <f>'III. Datos Entrada-BE'!$E$36</f>
        <v>31</v>
      </c>
      <c r="D75" s="675">
        <f>MIN(0.95, MAX(0.104, EXP(15175*(('III. Datos Entrada-BE'!C36+273)-303.16)/(1.987*('III. Datos Entrada-BE'!C36+273)*303.16))))</f>
        <v>0.104</v>
      </c>
      <c r="E75" s="620">
        <f t="shared" si="7"/>
        <v>2.86</v>
      </c>
      <c r="F75" s="675">
        <f>(E75*'III. Datos Entrada-BE'!D83*'III. Datos Entrada-BE'!$D$191*C75*0.8)+G75</f>
        <v>0</v>
      </c>
      <c r="G75" s="670">
        <f>IF('III. Datos Entrada-BE'!$E$164=B74,0,IF('III. Datos Entrada-BE'!$F$164=B74,0,IF('III. Datos Entrada-BE'!$G$164=B74,0,IF('III. Datos Entrada-BE'!$C$164="Sí",0,(F74-H74)))))</f>
        <v>0</v>
      </c>
      <c r="H75" s="668">
        <f t="shared" si="8"/>
        <v>0</v>
      </c>
      <c r="I75" s="668">
        <f>IF('III. Datos Entrada-BE'!E63=0,0,H75*'III. Datos Entrada-BE'!$C$120*0.717*0.001)*('III. Datos Entrada-BE'!G36/'III. Datos Entrada-BE'!E36)</f>
        <v>0</v>
      </c>
      <c r="J75" s="700">
        <f t="shared" si="6"/>
        <v>0</v>
      </c>
      <c r="K75" s="45"/>
      <c r="L75" s="45"/>
      <c r="O75" s="10"/>
      <c r="P75" s="18"/>
    </row>
    <row r="76" spans="1:94" ht="13.5" thickBot="1" x14ac:dyDescent="0.35">
      <c r="B76" s="529" t="str">
        <f>'III. Datos Entrada-BE'!$B$37</f>
        <v>junio</v>
      </c>
      <c r="C76" s="667">
        <f>'III. Datos Entrada-BE'!$E$37</f>
        <v>30</v>
      </c>
      <c r="D76" s="675">
        <f>MIN(0.95, MAX(0.104, EXP(15175*(('III. Datos Entrada-BE'!C37+273)-303.16)/(1.987*('III. Datos Entrada-BE'!C37+273)*303.16))))</f>
        <v>0.104</v>
      </c>
      <c r="E76" s="620">
        <f t="shared" si="7"/>
        <v>2.86</v>
      </c>
      <c r="F76" s="675">
        <f>(E76*'III. Datos Entrada-BE'!D84*'III. Datos Entrada-BE'!$D$191*C76*0.8)+G76</f>
        <v>0</v>
      </c>
      <c r="G76" s="670">
        <f>IF('III. Datos Entrada-BE'!$E$164=B75,0,IF('III. Datos Entrada-BE'!$F$164=B75,0,IF('III. Datos Entrada-BE'!$G$164=B75,0,IF('III. Datos Entrada-BE'!$C$164="Sí",0,(F75-H75)))))</f>
        <v>0</v>
      </c>
      <c r="H76" s="668">
        <f t="shared" si="8"/>
        <v>0</v>
      </c>
      <c r="I76" s="668">
        <f>IF('III. Datos Entrada-BE'!E64=0,0,H76*'III. Datos Entrada-BE'!$C$120*0.717*0.001)*('III. Datos Entrada-BE'!G37/'III. Datos Entrada-BE'!E37)</f>
        <v>0</v>
      </c>
      <c r="J76" s="700">
        <f t="shared" si="6"/>
        <v>0</v>
      </c>
      <c r="N76" s="9"/>
      <c r="O76" s="10"/>
    </row>
    <row r="77" spans="1:94" ht="13" thickBot="1" x14ac:dyDescent="0.3">
      <c r="B77" s="529" t="str">
        <f>'III. Datos Entrada-BE'!$B$38</f>
        <v>julio</v>
      </c>
      <c r="C77" s="667">
        <f>'III. Datos Entrada-BE'!$E$38</f>
        <v>31</v>
      </c>
      <c r="D77" s="675">
        <f>MIN(0.95, MAX(0.104, EXP(15175*(('III. Datos Entrada-BE'!C38+273)-303.16)/(1.987*('III. Datos Entrada-BE'!C38+273)*303.16))))</f>
        <v>0.104</v>
      </c>
      <c r="E77" s="620">
        <f t="shared" si="7"/>
        <v>2.86</v>
      </c>
      <c r="F77" s="675">
        <f>(E77*'III. Datos Entrada-BE'!D85*'III. Datos Entrada-BE'!$D$191*C77*0.8)+G77</f>
        <v>0</v>
      </c>
      <c r="G77" s="670">
        <f>IF('III. Datos Entrada-BE'!$E$164=B76,0,IF('III. Datos Entrada-BE'!$F$164=B76,0,IF('III. Datos Entrada-BE'!$G$164=B76,0,IF('III. Datos Entrada-BE'!$C$164="Sí",0,(F76-H76)))))</f>
        <v>0</v>
      </c>
      <c r="H77" s="668">
        <f t="shared" si="8"/>
        <v>0</v>
      </c>
      <c r="I77" s="668">
        <f>IF('III. Datos Entrada-BE'!E65=0,0,H77*'III. Datos Entrada-BE'!$C$120*0.717*0.001)*('III. Datos Entrada-BE'!G38/'III. Datos Entrada-BE'!E38)</f>
        <v>0</v>
      </c>
      <c r="J77" s="700">
        <f t="shared" si="6"/>
        <v>0</v>
      </c>
    </row>
    <row r="78" spans="1:94" ht="13" thickBot="1" x14ac:dyDescent="0.3">
      <c r="B78" s="529" t="str">
        <f>'III. Datos Entrada-BE'!$B$39</f>
        <v>agosto</v>
      </c>
      <c r="C78" s="667">
        <f>'III. Datos Entrada-BE'!$E$39</f>
        <v>31</v>
      </c>
      <c r="D78" s="675">
        <f>MIN(0.95, MAX(0.104, EXP(15175*(('III. Datos Entrada-BE'!C39+273)-303.16)/(1.987*('III. Datos Entrada-BE'!C39+273)*303.16))))</f>
        <v>0.104</v>
      </c>
      <c r="E78" s="620">
        <f t="shared" si="7"/>
        <v>2.86</v>
      </c>
      <c r="F78" s="675">
        <f>(E78*'III. Datos Entrada-BE'!D86*'III. Datos Entrada-BE'!$D$191*C78*0.8)+G78</f>
        <v>0</v>
      </c>
      <c r="G78" s="670">
        <f>IF('III. Datos Entrada-BE'!$E$164=B77,0,IF('III. Datos Entrada-BE'!$F$164=B77,0,IF('III. Datos Entrada-BE'!$G$164=B77,0,IF('III. Datos Entrada-BE'!$C$164="Sí",0,(F77-H77)))))</f>
        <v>0</v>
      </c>
      <c r="H78" s="668">
        <f t="shared" si="8"/>
        <v>0</v>
      </c>
      <c r="I78" s="668">
        <f>IF('III. Datos Entrada-BE'!E66=0,0,H78*'III. Datos Entrada-BE'!$C$120*0.717*0.001)*('III. Datos Entrada-BE'!G39/'III. Datos Entrada-BE'!E39)</f>
        <v>0</v>
      </c>
      <c r="J78" s="700">
        <f t="shared" si="6"/>
        <v>0</v>
      </c>
    </row>
    <row r="79" spans="1:94" ht="13" thickBot="1" x14ac:dyDescent="0.3">
      <c r="B79" s="529" t="str">
        <f>'III. Datos Entrada-BE'!$B$40</f>
        <v>septiembre</v>
      </c>
      <c r="C79" s="667">
        <f>'III. Datos Entrada-BE'!$E$40</f>
        <v>30</v>
      </c>
      <c r="D79" s="675">
        <f>MIN(0.95, MAX(0.104, EXP(15175*(('III. Datos Entrada-BE'!C40+273)-303.16)/(1.987*('III. Datos Entrada-BE'!C40+273)*303.16))))</f>
        <v>0.104</v>
      </c>
      <c r="E79" s="620">
        <f t="shared" si="7"/>
        <v>2.86</v>
      </c>
      <c r="F79" s="675">
        <f>(E79*'III. Datos Entrada-BE'!D87*'III. Datos Entrada-BE'!$D$191*C79*0.8)+G79</f>
        <v>0</v>
      </c>
      <c r="G79" s="670">
        <f>IF('III. Datos Entrada-BE'!$E$164=B78,0,IF('III. Datos Entrada-BE'!$F$164=B78,0,IF('III. Datos Entrada-BE'!$G$164=B78,0,IF('III. Datos Entrada-BE'!$C$164="Sí",0,(F78-H78)))))</f>
        <v>0</v>
      </c>
      <c r="H79" s="668">
        <f t="shared" si="8"/>
        <v>0</v>
      </c>
      <c r="I79" s="668">
        <f>IF('III. Datos Entrada-BE'!E67=0,0,H79*'III. Datos Entrada-BE'!$C$120*0.717*0.001)*('III. Datos Entrada-BE'!G40/'III. Datos Entrada-BE'!E40)</f>
        <v>0</v>
      </c>
      <c r="J79" s="700">
        <f t="shared" si="6"/>
        <v>0</v>
      </c>
    </row>
    <row r="80" spans="1:94" ht="13" thickBot="1" x14ac:dyDescent="0.3">
      <c r="B80" s="529" t="str">
        <f>'III. Datos Entrada-BE'!$B$41</f>
        <v>octubre</v>
      </c>
      <c r="C80" s="667">
        <f>'III. Datos Entrada-BE'!$E$41</f>
        <v>31</v>
      </c>
      <c r="D80" s="675">
        <f>MIN(0.95, MAX(0.104, EXP(15175*(('III. Datos Entrada-BE'!C41+273)-303.16)/(1.987*('III. Datos Entrada-BE'!C41+273)*303.16))))</f>
        <v>0.104</v>
      </c>
      <c r="E80" s="620">
        <f t="shared" si="7"/>
        <v>2.86</v>
      </c>
      <c r="F80" s="675">
        <f>(E80*'III. Datos Entrada-BE'!D88*'III. Datos Entrada-BE'!$D$191*C80*0.8)+G80</f>
        <v>0</v>
      </c>
      <c r="G80" s="670">
        <f>IF('III. Datos Entrada-BE'!$E$164=B79,0,IF('III. Datos Entrada-BE'!$F$164=B79,0,IF('III. Datos Entrada-BE'!$G$164=B79,0,IF('III. Datos Entrada-BE'!$C$164="Sí",0,(F79-H79)))))</f>
        <v>0</v>
      </c>
      <c r="H80" s="668">
        <f t="shared" si="8"/>
        <v>0</v>
      </c>
      <c r="I80" s="668">
        <f>IF('III. Datos Entrada-BE'!D68=0,0,H80*'III. Datos Entrada-BE'!$C$120*0.717*0.001)*('III. Datos Entrada-BE'!G41/'III. Datos Entrada-BE'!E41)</f>
        <v>0</v>
      </c>
      <c r="J80" s="700">
        <f t="shared" si="6"/>
        <v>0</v>
      </c>
    </row>
    <row r="81" spans="1:94" ht="13" thickBot="1" x14ac:dyDescent="0.3">
      <c r="B81" s="529" t="str">
        <f>'III. Datos Entrada-BE'!$B$42</f>
        <v>noviembre</v>
      </c>
      <c r="C81" s="667">
        <f>'III. Datos Entrada-BE'!$E$42</f>
        <v>30</v>
      </c>
      <c r="D81" s="675">
        <f>MIN(0.95, MAX(0.104, EXP(15175*(('III. Datos Entrada-BE'!C42+273)-303.16)/(1.987*('III. Datos Entrada-BE'!C42+273)*303.16))))</f>
        <v>0.104</v>
      </c>
      <c r="E81" s="620">
        <f t="shared" si="7"/>
        <v>2.86</v>
      </c>
      <c r="F81" s="675">
        <f>(E81*'III. Datos Entrada-BE'!D89*'III. Datos Entrada-BE'!$D$191*C81*0.8)+G81</f>
        <v>0</v>
      </c>
      <c r="G81" s="670">
        <f>IF('III. Datos Entrada-BE'!$E$164=B80,0,IF('III. Datos Entrada-BE'!$F$164=B80,0,IF('III. Datos Entrada-BE'!$G$164=B80,0,IF('III. Datos Entrada-BE'!$C$164="Sí",0,(F80-H80)))))</f>
        <v>0</v>
      </c>
      <c r="H81" s="668">
        <f t="shared" si="8"/>
        <v>0</v>
      </c>
      <c r="I81" s="668">
        <f>IF('III. Datos Entrada-BE'!D69=0,0,H81*'III. Datos Entrada-BE'!$C$120*0.717*0.001)*('III. Datos Entrada-BE'!G42/'III. Datos Entrada-BE'!E42)</f>
        <v>0</v>
      </c>
      <c r="J81" s="700">
        <f t="shared" si="6"/>
        <v>0</v>
      </c>
    </row>
    <row r="82" spans="1:94" ht="13" thickBot="1" x14ac:dyDescent="0.3">
      <c r="B82" s="553" t="str">
        <f>'III. Datos Entrada-BE'!$B$43</f>
        <v>diciembre</v>
      </c>
      <c r="C82" s="671">
        <f>'III. Datos Entrada-BE'!$E$43</f>
        <v>31</v>
      </c>
      <c r="D82" s="677">
        <f>MIN(0.95, MAX(0.104, EXP(15175*(('III. Datos Entrada-BE'!C43+273)-303.16)/(1.987*('III. Datos Entrada-BE'!C43+273)*303.16))))</f>
        <v>0.104</v>
      </c>
      <c r="E82" s="678">
        <f>$C$68</f>
        <v>2.86</v>
      </c>
      <c r="F82" s="677">
        <f>(E82*'III. Datos Entrada-BE'!D90*'III. Datos Entrada-BE'!$D$191*C82*0.8)+G82</f>
        <v>0</v>
      </c>
      <c r="G82" s="670">
        <f>IF('III. Datos Entrada-BE'!$E$164=B81,0,IF('III. Datos Entrada-BE'!$F$164=B81,0,IF('III. Datos Entrada-BE'!$G$164=B81,0,IF('III. Datos Entrada-BE'!$C$164="Sí",0,(F81-H81)))))</f>
        <v>0</v>
      </c>
      <c r="H82" s="575">
        <f t="shared" si="8"/>
        <v>0</v>
      </c>
      <c r="I82" s="668">
        <f>IF('III. Datos Entrada-BE'!D70=0,0,H82*'III. Datos Entrada-BE'!$C$120*0.717*0.001)*('III. Datos Entrada-BE'!G43/'III. Datos Entrada-BE'!E43)</f>
        <v>0</v>
      </c>
      <c r="J82" s="700">
        <f t="shared" si="6"/>
        <v>0</v>
      </c>
    </row>
    <row r="83" spans="1:94" ht="13.5" thickBot="1" x14ac:dyDescent="0.35">
      <c r="B83" s="27" t="s">
        <v>167</v>
      </c>
      <c r="C83" s="504"/>
      <c r="D83" s="505"/>
      <c r="E83" s="505"/>
      <c r="F83" s="506"/>
      <c r="G83" s="507"/>
      <c r="H83" s="35">
        <f>SUM(H71:H82)</f>
        <v>0</v>
      </c>
      <c r="I83" s="36">
        <f>SUM(I71:I82)</f>
        <v>0</v>
      </c>
      <c r="J83" s="67">
        <f>SUM(J71:J82)</f>
        <v>0</v>
      </c>
    </row>
    <row r="84" spans="1:94" ht="13.5" thickBot="1" x14ac:dyDescent="0.35">
      <c r="B84" s="9"/>
      <c r="C84" s="70"/>
      <c r="D84" s="12"/>
      <c r="E84" s="12"/>
      <c r="F84" s="8"/>
      <c r="G84" s="8"/>
      <c r="H84" s="12"/>
      <c r="I84" s="12"/>
      <c r="J84" s="8"/>
    </row>
    <row r="85" spans="1:94" ht="25.5" customHeight="1" thickBot="1" x14ac:dyDescent="0.35">
      <c r="B85" s="1232" t="s">
        <v>928</v>
      </c>
      <c r="C85" s="1233"/>
      <c r="D85" s="1233"/>
      <c r="E85" s="1233"/>
      <c r="F85" s="1234"/>
      <c r="G85" s="456">
        <f>IF('III. Datos Entrada-BE'!C$164="Sí",0,IF('III. Datos Entrada-BE'!E$164=B82,0,IF('III. Datos Entrada-BE'!F$164='V. BE CH4-AS'!B82,0,IF('III. Datos Entrada-BE'!G$164='V. BE CH4-AS'!B82,0,F82-H82))))</f>
        <v>0</v>
      </c>
      <c r="H85" s="12"/>
      <c r="I85" s="12"/>
      <c r="J85" s="8"/>
    </row>
    <row r="86" spans="1:94" ht="123.5" customHeight="1" thickBot="1" x14ac:dyDescent="0.35">
      <c r="G86" s="46" t="s">
        <v>927</v>
      </c>
      <c r="H86" s="12"/>
      <c r="I86" s="12"/>
      <c r="J86" s="8"/>
    </row>
    <row r="88" spans="1:94" ht="13.5" thickBot="1" x14ac:dyDescent="0.35">
      <c r="B88" s="22"/>
      <c r="C88" s="26"/>
      <c r="D88" s="14"/>
      <c r="E88" s="14"/>
      <c r="F88" s="14"/>
      <c r="G88" s="14"/>
      <c r="H88" s="12"/>
      <c r="I88" s="12"/>
      <c r="J88" s="12"/>
    </row>
    <row r="89" spans="1:94" ht="12" customHeight="1" x14ac:dyDescent="0.3">
      <c r="B89" s="9"/>
      <c r="C89" s="53"/>
      <c r="E89" s="1083" t="s">
        <v>926</v>
      </c>
      <c r="F89" s="1109"/>
      <c r="G89" s="1109"/>
      <c r="H89" s="1109"/>
      <c r="I89" s="1109"/>
      <c r="J89" s="1110"/>
    </row>
    <row r="90" spans="1:94" s="68" customFormat="1" ht="13" x14ac:dyDescent="0.3">
      <c r="A90" s="9"/>
      <c r="B90" s="9"/>
      <c r="C90" s="70"/>
      <c r="D90" s="12"/>
      <c r="E90" s="1107"/>
      <c r="F90" s="1111"/>
      <c r="G90" s="1111"/>
      <c r="H90" s="1111"/>
      <c r="I90" s="1111"/>
      <c r="J90" s="1112"/>
      <c r="K90" s="38"/>
      <c r="L90" s="38"/>
      <c r="M90" s="3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row>
    <row r="91" spans="1:94" ht="13" thickBot="1" x14ac:dyDescent="0.3">
      <c r="E91" s="1113"/>
      <c r="F91" s="1114"/>
      <c r="G91" s="1114"/>
      <c r="H91" s="1114"/>
      <c r="I91" s="1114"/>
      <c r="J91" s="1115"/>
    </row>
    <row r="92" spans="1:94" ht="52" x14ac:dyDescent="0.3">
      <c r="B92" s="23" t="str">
        <f>B67</f>
        <v>Novillos/Novillos (en sistemas intensivos) 
Heifers/Steers (in intensive systems)</v>
      </c>
      <c r="C92" s="24">
        <f>'III. Datos Entrada-BE'!B137</f>
        <v>0</v>
      </c>
      <c r="D92" s="25"/>
      <c r="E92" s="12"/>
      <c r="F92" s="12"/>
      <c r="G92" s="12"/>
      <c r="H92" s="12"/>
      <c r="I92" s="12"/>
      <c r="J92" s="12"/>
      <c r="K92" s="22"/>
      <c r="L92" s="22"/>
      <c r="M92" s="22"/>
      <c r="O92" s="22"/>
      <c r="P92" s="20"/>
      <c r="Q92" s="20"/>
      <c r="R92" s="20"/>
    </row>
    <row r="93" spans="1:94" ht="15" x14ac:dyDescent="0.4">
      <c r="B93" s="574" t="s">
        <v>158</v>
      </c>
      <c r="C93" s="666">
        <f>C68</f>
        <v>2.86</v>
      </c>
      <c r="E93" s="8"/>
      <c r="F93" s="12"/>
      <c r="G93" s="12"/>
      <c r="H93" s="12"/>
      <c r="I93" s="12"/>
      <c r="J93" s="12"/>
      <c r="K93" s="22"/>
      <c r="L93" s="22"/>
      <c r="M93" s="22"/>
      <c r="O93" s="22"/>
      <c r="P93" s="20"/>
      <c r="Q93" s="20"/>
      <c r="R93" s="20"/>
    </row>
    <row r="94" spans="1:94" ht="13.5" thickBot="1" x14ac:dyDescent="0.35">
      <c r="B94" s="69"/>
      <c r="C94" s="420"/>
      <c r="E94" s="8"/>
      <c r="F94" s="12"/>
      <c r="G94" s="12"/>
      <c r="H94" s="12"/>
      <c r="I94" s="12"/>
      <c r="J94" s="12"/>
      <c r="K94" s="22"/>
      <c r="L94" s="22"/>
      <c r="M94" s="22"/>
      <c r="O94" s="22"/>
      <c r="P94" s="20"/>
      <c r="Q94" s="20"/>
      <c r="R94" s="20"/>
    </row>
    <row r="95" spans="1:94" ht="27.5" thickBot="1" x14ac:dyDescent="0.45">
      <c r="B95" s="905" t="s">
        <v>442</v>
      </c>
      <c r="C95" s="269" t="s">
        <v>922</v>
      </c>
      <c r="D95" s="59" t="s">
        <v>159</v>
      </c>
      <c r="E95" s="60" t="s">
        <v>160</v>
      </c>
      <c r="F95" s="61" t="s">
        <v>161</v>
      </c>
      <c r="G95" s="60" t="s">
        <v>162</v>
      </c>
      <c r="H95" s="61" t="s">
        <v>163</v>
      </c>
      <c r="I95" s="62" t="s">
        <v>164</v>
      </c>
      <c r="J95" s="63" t="s">
        <v>165</v>
      </c>
    </row>
    <row r="96" spans="1:94" ht="13" thickBot="1" x14ac:dyDescent="0.3">
      <c r="B96" s="29" t="str">
        <f>'III. Datos Entrada-BE'!$B$32</f>
        <v>enero</v>
      </c>
      <c r="C96" s="416">
        <f>'III. Datos Entrada-BE'!$E$32</f>
        <v>31</v>
      </c>
      <c r="D96" s="50">
        <f>MIN(0.95, MAX(0.104,EXP(15175*(('III. Datos Entrada-BE'!C32+273)-303.16)/(1.987*('III. Datos Entrada-BE'!C32+273)*303.16))))</f>
        <v>0.104</v>
      </c>
      <c r="E96" s="51">
        <f t="shared" ref="E96:E106" si="9">$C$68</f>
        <v>2.86</v>
      </c>
      <c r="F96" s="50">
        <f>(E96*'III. Datos Entrada-BE'!D79*'III. Datos Entrada-BE'!$D$192*C96*0.8)+G96</f>
        <v>0</v>
      </c>
      <c r="G96" s="32"/>
      <c r="H96" s="31">
        <f>F96*D96</f>
        <v>0</v>
      </c>
      <c r="I96" s="31">
        <f>IF('III. Datos Entrada-BE'!D32=0,0,H96*'III. Datos Entrada-BE'!$C$121*0.717*0.001)*('III. Datos Entrada-BE'!G32/'III. Datos Entrada-BE'!E32)</f>
        <v>0</v>
      </c>
      <c r="J96" s="700">
        <f t="shared" ref="J96:J107" si="10">I96*PCG</f>
        <v>0</v>
      </c>
    </row>
    <row r="97" spans="1:94" ht="13" thickBot="1" x14ac:dyDescent="0.3">
      <c r="B97" s="529" t="str">
        <f>'III. Datos Entrada-BE'!$B$33</f>
        <v>febrero</v>
      </c>
      <c r="C97" s="667">
        <f>'III. Datos Entrada-BE'!$E$33</f>
        <v>28</v>
      </c>
      <c r="D97" s="675">
        <f>MIN(0.95, MAX(0.104,EXP(15175*(('III. Datos Entrada-BE'!C33+273)-303.16)/(1.987*('III. Datos Entrada-BE'!C33+273)*303.16))))</f>
        <v>0.104</v>
      </c>
      <c r="E97" s="620">
        <f t="shared" si="9"/>
        <v>2.86</v>
      </c>
      <c r="F97" s="675">
        <f>(E97*'III. Datos Entrada-BE'!D80*'III. Datos Entrada-BE'!$D$192*C97*0.8)+G97</f>
        <v>0</v>
      </c>
      <c r="G97" s="670">
        <f>IF('III. Datos Entrada-BE'!$E$165=B96,0,IF('III. Datos Entrada-BE'!$F$165=B96,0,IF('III. Datos Entrada-BE'!$G$165=B96,0,IF('III. Datos Entrada-BE'!$C$165="Sí",0,(F96-H96)))))</f>
        <v>0</v>
      </c>
      <c r="H97" s="668">
        <f t="shared" ref="H97:H107" si="11">F97*D97</f>
        <v>0</v>
      </c>
      <c r="I97" s="668">
        <f>IF('III. Datos Entrada-BE'!D33=0,0,H97*'III. Datos Entrada-BE'!$C$121*0.717*0.001)*('III. Datos Entrada-BE'!G33/'III. Datos Entrada-BE'!E33)</f>
        <v>0</v>
      </c>
      <c r="J97" s="700">
        <f t="shared" si="10"/>
        <v>0</v>
      </c>
    </row>
    <row r="98" spans="1:94" ht="13" thickBot="1" x14ac:dyDescent="0.3">
      <c r="B98" s="529" t="str">
        <f>'III. Datos Entrada-BE'!$B$34</f>
        <v>marzo</v>
      </c>
      <c r="C98" s="667">
        <f>'III. Datos Entrada-BE'!$E$34</f>
        <v>31</v>
      </c>
      <c r="D98" s="675">
        <f>MIN(0.95, MAX(0.104,EXP(15175*(('III. Datos Entrada-BE'!C34+273)-303.16)/(1.987*('III. Datos Entrada-BE'!C34+273)*303.16))))</f>
        <v>0.104</v>
      </c>
      <c r="E98" s="620">
        <f t="shared" si="9"/>
        <v>2.86</v>
      </c>
      <c r="F98" s="675">
        <f>(E98*'III. Datos Entrada-BE'!D81*'III. Datos Entrada-BE'!$D$192*C98*0.8)+G98</f>
        <v>0</v>
      </c>
      <c r="G98" s="670">
        <f>IF('III. Datos Entrada-BE'!$E$165=B97,0,IF('III. Datos Entrada-BE'!$F$165=B97,0,IF('III. Datos Entrada-BE'!$G$165=B97,0,IF('III. Datos Entrada-BE'!$C$165="Sí",0,(F97-H97)))))</f>
        <v>0</v>
      </c>
      <c r="H98" s="668">
        <f t="shared" si="11"/>
        <v>0</v>
      </c>
      <c r="I98" s="668">
        <f>IF('III. Datos Entrada-BE'!D34=0,0,H98*'III. Datos Entrada-BE'!$C$121*0.717*0.001)*('III. Datos Entrada-BE'!G34/'III. Datos Entrada-BE'!E34)</f>
        <v>0</v>
      </c>
      <c r="J98" s="700">
        <f t="shared" si="10"/>
        <v>0</v>
      </c>
    </row>
    <row r="99" spans="1:94" ht="13" thickBot="1" x14ac:dyDescent="0.3">
      <c r="B99" s="529" t="str">
        <f>'III. Datos Entrada-BE'!$B$35</f>
        <v>abril</v>
      </c>
      <c r="C99" s="667">
        <f>'III. Datos Entrada-BE'!$E$35</f>
        <v>30</v>
      </c>
      <c r="D99" s="675">
        <f>MIN(0.95, MAX(0.104,EXP(15175*(('III. Datos Entrada-BE'!C35+273)-303.16)/(1.987*('III. Datos Entrada-BE'!C35+273)*303.16))))</f>
        <v>0.104</v>
      </c>
      <c r="E99" s="620">
        <f t="shared" si="9"/>
        <v>2.86</v>
      </c>
      <c r="F99" s="675">
        <f>(E99*'III. Datos Entrada-BE'!D82*'III. Datos Entrada-BE'!$D$192*C99*0.8)+G99</f>
        <v>0</v>
      </c>
      <c r="G99" s="670">
        <f>IF('III. Datos Entrada-BE'!$E$165=B98,0,IF('III. Datos Entrada-BE'!$F$165=B98,0,IF('III. Datos Entrada-BE'!$G$165=B98,0,IF('III. Datos Entrada-BE'!$C$165="Sí",0,(F98-H98)))))</f>
        <v>0</v>
      </c>
      <c r="H99" s="668">
        <f t="shared" si="11"/>
        <v>0</v>
      </c>
      <c r="I99" s="668">
        <f>IF('III. Datos Entrada-BE'!D35=0,0,H99*'III. Datos Entrada-BE'!$C$121*0.717*0.001)*('III. Datos Entrada-BE'!G35/'III. Datos Entrada-BE'!E35)</f>
        <v>0</v>
      </c>
      <c r="J99" s="700">
        <f t="shared" si="10"/>
        <v>0</v>
      </c>
    </row>
    <row r="100" spans="1:94" ht="13" thickBot="1" x14ac:dyDescent="0.3">
      <c r="B100" s="529" t="str">
        <f>'III. Datos Entrada-BE'!$B$36</f>
        <v>mayo</v>
      </c>
      <c r="C100" s="667">
        <f>'III. Datos Entrada-BE'!$E$36</f>
        <v>31</v>
      </c>
      <c r="D100" s="675">
        <f>MIN(0.95, MAX(0.104,EXP(15175*(('III. Datos Entrada-BE'!C36+273)-303.16)/(1.987*('III. Datos Entrada-BE'!C36+273)*303.16))))</f>
        <v>0.104</v>
      </c>
      <c r="E100" s="620">
        <f t="shared" si="9"/>
        <v>2.86</v>
      </c>
      <c r="F100" s="675">
        <f>(E100*'III. Datos Entrada-BE'!D83*'III. Datos Entrada-BE'!$D$192*C100*0.8)+G100</f>
        <v>0</v>
      </c>
      <c r="G100" s="670">
        <f>IF('III. Datos Entrada-BE'!$E$165=B99,0,IF('III. Datos Entrada-BE'!$F$165=B99,0,IF('III. Datos Entrada-BE'!$G$165=B99,0,IF('III. Datos Entrada-BE'!$C$165="Sí",0,(F99-H99)))))</f>
        <v>0</v>
      </c>
      <c r="H100" s="668">
        <f t="shared" si="11"/>
        <v>0</v>
      </c>
      <c r="I100" s="668">
        <f>IF('III. Datos Entrada-BE'!D36=0,0,H100*'III. Datos Entrada-BE'!$C$121*0.717*0.001)*('III. Datos Entrada-BE'!G36/'III. Datos Entrada-BE'!E36)</f>
        <v>0</v>
      </c>
      <c r="J100" s="700">
        <f t="shared" si="10"/>
        <v>0</v>
      </c>
    </row>
    <row r="101" spans="1:94" ht="13" thickBot="1" x14ac:dyDescent="0.3">
      <c r="B101" s="529" t="str">
        <f>'III. Datos Entrada-BE'!$B$37</f>
        <v>junio</v>
      </c>
      <c r="C101" s="667">
        <f>'III. Datos Entrada-BE'!$E$37</f>
        <v>30</v>
      </c>
      <c r="D101" s="675">
        <f>MIN(0.95, MAX(0.104,EXP(15175*(('III. Datos Entrada-BE'!C37+273)-303.16)/(1.987*('III. Datos Entrada-BE'!C37+273)*303.16))))</f>
        <v>0.104</v>
      </c>
      <c r="E101" s="620">
        <f t="shared" si="9"/>
        <v>2.86</v>
      </c>
      <c r="F101" s="675">
        <f>(E101*'III. Datos Entrada-BE'!D84*'III. Datos Entrada-BE'!$D$192*C101*0.8)+G101</f>
        <v>0</v>
      </c>
      <c r="G101" s="670">
        <f>IF('III. Datos Entrada-BE'!$E$165=B100,0,IF('III. Datos Entrada-BE'!$F$165=B100,0,IF('III. Datos Entrada-BE'!$G$165=B100,0,IF('III. Datos Entrada-BE'!$C$165="Sí",0,(F100-H100)))))</f>
        <v>0</v>
      </c>
      <c r="H101" s="668">
        <f t="shared" si="11"/>
        <v>0</v>
      </c>
      <c r="I101" s="668">
        <f>IF('III. Datos Entrada-BE'!D37=0,0,H101*'III. Datos Entrada-BE'!$C$121*0.717*0.001)*('III. Datos Entrada-BE'!G37/'III. Datos Entrada-BE'!E37)</f>
        <v>0</v>
      </c>
      <c r="J101" s="700">
        <f t="shared" si="10"/>
        <v>0</v>
      </c>
    </row>
    <row r="102" spans="1:94" ht="13" thickBot="1" x14ac:dyDescent="0.3">
      <c r="B102" s="529" t="str">
        <f>'III. Datos Entrada-BE'!$B$38</f>
        <v>julio</v>
      </c>
      <c r="C102" s="667">
        <f>'III. Datos Entrada-BE'!$E$38</f>
        <v>31</v>
      </c>
      <c r="D102" s="675">
        <f>MIN(0.95, MAX(0.104,EXP(15175*(('III. Datos Entrada-BE'!C38+273)-303.16)/(1.987*('III. Datos Entrada-BE'!C38+273)*303.16))))</f>
        <v>0.104</v>
      </c>
      <c r="E102" s="620">
        <f t="shared" si="9"/>
        <v>2.86</v>
      </c>
      <c r="F102" s="675">
        <f>(E102*'III. Datos Entrada-BE'!D85*'III. Datos Entrada-BE'!$D$192*C102*0.8)+G102</f>
        <v>0</v>
      </c>
      <c r="G102" s="670">
        <f>IF('III. Datos Entrada-BE'!$E$165=B101,0,IF('III. Datos Entrada-BE'!$F$165=B101,0,IF('III. Datos Entrada-BE'!$G$165=B101,0,IF('III. Datos Entrada-BE'!$C$165="Sí",0,(F101-H101)))))</f>
        <v>0</v>
      </c>
      <c r="H102" s="668">
        <f t="shared" si="11"/>
        <v>0</v>
      </c>
      <c r="I102" s="668">
        <f>IF('III. Datos Entrada-BE'!D38=0,0,H102*'III. Datos Entrada-BE'!$C$121*0.717*0.001)*('III. Datos Entrada-BE'!G38/'III. Datos Entrada-BE'!E38)</f>
        <v>0</v>
      </c>
      <c r="J102" s="700">
        <f t="shared" si="10"/>
        <v>0</v>
      </c>
    </row>
    <row r="103" spans="1:94" ht="13" thickBot="1" x14ac:dyDescent="0.3">
      <c r="B103" s="529" t="str">
        <f>'III. Datos Entrada-BE'!$B$39</f>
        <v>agosto</v>
      </c>
      <c r="C103" s="667">
        <f>'III. Datos Entrada-BE'!$E$39</f>
        <v>31</v>
      </c>
      <c r="D103" s="675">
        <f>MIN(0.95, MAX(0.104,EXP(15175*(('III. Datos Entrada-BE'!C39+273)-303.16)/(1.987*('III. Datos Entrada-BE'!C39+273)*303.16))))</f>
        <v>0.104</v>
      </c>
      <c r="E103" s="620">
        <f t="shared" si="9"/>
        <v>2.86</v>
      </c>
      <c r="F103" s="675">
        <f>(E103*'III. Datos Entrada-BE'!D86*'III. Datos Entrada-BE'!$D$192*C103*0.8)+G103</f>
        <v>0</v>
      </c>
      <c r="G103" s="670">
        <f>IF('III. Datos Entrada-BE'!$E$165=B102,0,IF('III. Datos Entrada-BE'!$F$165=B102,0,IF('III. Datos Entrada-BE'!$G$165=B102,0,IF('III. Datos Entrada-BE'!$C$165="Sí",0,(F102-H102)))))</f>
        <v>0</v>
      </c>
      <c r="H103" s="668">
        <f t="shared" si="11"/>
        <v>0</v>
      </c>
      <c r="I103" s="668">
        <f>IF('III. Datos Entrada-BE'!D39=0,0,H103*'III. Datos Entrada-BE'!$C$121*0.717*0.001)*('III. Datos Entrada-BE'!G39/'III. Datos Entrada-BE'!E39)</f>
        <v>0</v>
      </c>
      <c r="J103" s="700">
        <f t="shared" si="10"/>
        <v>0</v>
      </c>
    </row>
    <row r="104" spans="1:94" s="9" customFormat="1" ht="13.5" thickBot="1" x14ac:dyDescent="0.35">
      <c r="B104" s="529" t="str">
        <f>'III. Datos Entrada-BE'!$B$40</f>
        <v>septiembre</v>
      </c>
      <c r="C104" s="667">
        <f>'III. Datos Entrada-BE'!$E$40</f>
        <v>30</v>
      </c>
      <c r="D104" s="675">
        <f>MIN(0.95, MAX(0.104,EXP(15175*(('III. Datos Entrada-BE'!C40+273)-303.16)/(1.987*('III. Datos Entrada-BE'!C40+273)*303.16))))</f>
        <v>0.104</v>
      </c>
      <c r="E104" s="620">
        <f t="shared" si="9"/>
        <v>2.86</v>
      </c>
      <c r="F104" s="675">
        <f>(E104*'III. Datos Entrada-BE'!D87*'III. Datos Entrada-BE'!$D$192*C104*0.8)+G104</f>
        <v>0</v>
      </c>
      <c r="G104" s="670">
        <f>IF('III. Datos Entrada-BE'!$E$165=B103,0,IF('III. Datos Entrada-BE'!$F$165=B103,0,IF('III. Datos Entrada-BE'!$G$165=B103,0,IF('III. Datos Entrada-BE'!$C$165="Sí",0,(F103-H103)))))</f>
        <v>0</v>
      </c>
      <c r="H104" s="668">
        <f t="shared" si="11"/>
        <v>0</v>
      </c>
      <c r="I104" s="668">
        <f>IF('III. Datos Entrada-BE'!D40=0,0,H104*'III. Datos Entrada-BE'!$C$121*0.717*0.001)*('III. Datos Entrada-BE'!G40/'III. Datos Entrada-BE'!E40)</f>
        <v>0</v>
      </c>
      <c r="J104" s="700">
        <f t="shared" si="10"/>
        <v>0</v>
      </c>
      <c r="K104" s="38"/>
      <c r="L104" s="38"/>
      <c r="M104" s="39"/>
      <c r="N104" s="39"/>
      <c r="O104" s="22"/>
      <c r="Q104" s="38"/>
    </row>
    <row r="105" spans="1:94" ht="13" thickBot="1" x14ac:dyDescent="0.3">
      <c r="B105" s="529" t="str">
        <f>'III. Datos Entrada-BE'!$B$41</f>
        <v>octubre</v>
      </c>
      <c r="C105" s="667">
        <f>'III. Datos Entrada-BE'!$E$41</f>
        <v>31</v>
      </c>
      <c r="D105" s="675">
        <f>MIN(0.95, MAX(0.104,EXP(15175*(('III. Datos Entrada-BE'!C41+273)-303.16)/(1.987*('III. Datos Entrada-BE'!C41+273)*303.16))))</f>
        <v>0.104</v>
      </c>
      <c r="E105" s="620">
        <f t="shared" si="9"/>
        <v>2.86</v>
      </c>
      <c r="F105" s="675">
        <f>(E105*'III. Datos Entrada-BE'!D88*'III. Datos Entrada-BE'!$D$192*C105*0.8)+G105</f>
        <v>0</v>
      </c>
      <c r="G105" s="670">
        <f>IF('III. Datos Entrada-BE'!$E$165=B104,0,IF('III. Datos Entrada-BE'!$F$165=B104,0,IF('III. Datos Entrada-BE'!$G$165=B104,0,IF('III. Datos Entrada-BE'!$C$165="Sí",0,(F104-H104)))))</f>
        <v>0</v>
      </c>
      <c r="H105" s="668">
        <f t="shared" si="11"/>
        <v>0</v>
      </c>
      <c r="I105" s="668">
        <f>IF('III. Datos Entrada-BE'!D41=0,0,H105*'III. Datos Entrada-BE'!$C$121*0.717*0.001)*('III. Datos Entrada-BE'!G41/'III. Datos Entrada-BE'!E41)</f>
        <v>0</v>
      </c>
      <c r="J105" s="700">
        <f t="shared" si="10"/>
        <v>0</v>
      </c>
      <c r="K105" s="45"/>
      <c r="L105" s="45"/>
      <c r="M105" s="45"/>
      <c r="N105" s="44"/>
      <c r="O105" s="45"/>
      <c r="P105" s="44"/>
      <c r="Q105" s="44"/>
    </row>
    <row r="106" spans="1:94" s="9" customFormat="1" ht="13.5" thickBot="1" x14ac:dyDescent="0.35">
      <c r="B106" s="529" t="str">
        <f>'III. Datos Entrada-BE'!$B$42</f>
        <v>noviembre</v>
      </c>
      <c r="C106" s="667">
        <f>'III. Datos Entrada-BE'!$E$42</f>
        <v>30</v>
      </c>
      <c r="D106" s="675">
        <f>MIN(0.95, MAX(0.104,EXP(15175*(('III. Datos Entrada-BE'!C42+273)-303.16)/(1.987*('III. Datos Entrada-BE'!C42+273)*303.16))))</f>
        <v>0.104</v>
      </c>
      <c r="E106" s="620">
        <f t="shared" si="9"/>
        <v>2.86</v>
      </c>
      <c r="F106" s="675">
        <f>(E106*'III. Datos Entrada-BE'!D89*'III. Datos Entrada-BE'!$D$192*C106*0.8)+G106</f>
        <v>0</v>
      </c>
      <c r="G106" s="670">
        <f>IF('III. Datos Entrada-BE'!$E$165=B105,0,IF('III. Datos Entrada-BE'!$F$165=B105,0,IF('III. Datos Entrada-BE'!$G$165=B105,0,IF('III. Datos Entrada-BE'!$C$165="Sí",0,(F105-H105)))))</f>
        <v>0</v>
      </c>
      <c r="H106" s="668">
        <f t="shared" si="11"/>
        <v>0</v>
      </c>
      <c r="I106" s="668">
        <f>IF('III. Datos Entrada-BE'!D42=0,0,H106*'III. Datos Entrada-BE'!$C$121*0.717*0.001)*('III. Datos Entrada-BE'!G42/'III. Datos Entrada-BE'!E42)</f>
        <v>0</v>
      </c>
      <c r="J106" s="700">
        <f t="shared" si="10"/>
        <v>0</v>
      </c>
      <c r="K106" s="22"/>
      <c r="L106" s="22"/>
      <c r="M106" s="22"/>
      <c r="O106" s="22"/>
    </row>
    <row r="107" spans="1:94" ht="13.5" thickBot="1" x14ac:dyDescent="0.35">
      <c r="B107" s="553" t="str">
        <f>'III. Datos Entrada-BE'!$B$43</f>
        <v>diciembre</v>
      </c>
      <c r="C107" s="671">
        <f>'III. Datos Entrada-BE'!$E$43</f>
        <v>31</v>
      </c>
      <c r="D107" s="677">
        <f>MIN(0.95, MAX(0.104,EXP(15175*(('III. Datos Entrada-BE'!C43+273)-303.16)/(1.987*('III. Datos Entrada-BE'!C43+273)*303.16))))</f>
        <v>0.104</v>
      </c>
      <c r="E107" s="678">
        <f>$C$68</f>
        <v>2.86</v>
      </c>
      <c r="F107" s="677">
        <f>(E107*'III. Datos Entrada-BE'!D90*'III. Datos Entrada-BE'!$D$192*C107*0.8)+G107</f>
        <v>0</v>
      </c>
      <c r="G107" s="670">
        <f>IF('III. Datos Entrada-BE'!$E$165=B106,0,IF('III. Datos Entrada-BE'!$F$165=B106,0,IF('III. Datos Entrada-BE'!$G$165=B106,0,IF('III. Datos Entrada-BE'!$C$165="Sí",0,(F106-H106)))))</f>
        <v>0</v>
      </c>
      <c r="H107" s="575">
        <f t="shared" si="11"/>
        <v>0</v>
      </c>
      <c r="I107" s="575">
        <f>IF('III. Datos Entrada-BE'!D43=0,0,H107*'III. Datos Entrada-BE'!$C$121*0.717*0.001)*('III. Datos Entrada-BE'!G43/'III. Datos Entrada-BE'!E43)</f>
        <v>0</v>
      </c>
      <c r="J107" s="700">
        <f t="shared" si="10"/>
        <v>0</v>
      </c>
      <c r="K107" s="22"/>
      <c r="L107" s="22"/>
      <c r="M107" s="22"/>
      <c r="O107" s="10"/>
    </row>
    <row r="108" spans="1:94" ht="13.5" thickBot="1" x14ac:dyDescent="0.35">
      <c r="B108" s="27" t="s">
        <v>167</v>
      </c>
      <c r="C108" s="504"/>
      <c r="D108" s="505"/>
      <c r="E108" s="505"/>
      <c r="F108" s="506"/>
      <c r="G108" s="507"/>
      <c r="H108" s="906">
        <f>SUM(H96:H107)</f>
        <v>0</v>
      </c>
      <c r="I108" s="376">
        <f>SUM(I96:I107)</f>
        <v>0</v>
      </c>
      <c r="J108" s="54">
        <f>SUM(J96:J107)</f>
        <v>0</v>
      </c>
      <c r="K108" s="22"/>
      <c r="L108" s="22"/>
      <c r="M108" s="22"/>
      <c r="O108" s="10"/>
    </row>
    <row r="109" spans="1:94" ht="13.5" thickBot="1" x14ac:dyDescent="0.35">
      <c r="B109" s="9"/>
      <c r="C109" s="70"/>
      <c r="D109" s="12"/>
      <c r="E109" s="12"/>
      <c r="F109" s="8"/>
      <c r="G109" s="8"/>
      <c r="H109" s="12"/>
      <c r="I109" s="12"/>
      <c r="J109" s="8"/>
      <c r="K109" s="22"/>
      <c r="L109" s="22"/>
      <c r="M109" s="22"/>
      <c r="O109" s="10"/>
    </row>
    <row r="110" spans="1:94" s="49" customFormat="1" ht="26.5" customHeight="1" thickBot="1" x14ac:dyDescent="0.35">
      <c r="A110" s="2"/>
      <c r="B110" s="1232" t="s">
        <v>928</v>
      </c>
      <c r="C110" s="1233"/>
      <c r="D110" s="1233"/>
      <c r="E110" s="1233"/>
      <c r="F110" s="1234"/>
      <c r="G110" s="456">
        <f>IF('III. Datos Entrada-BE'!C$165="Sí",0,IF('III. Datos Entrada-BE'!E$165=B107,0,IF('III. Datos Entrada-BE'!F$165='V. BE CH4-AS'!B107,0,IF('III. Datos Entrada-BE'!G$165='V. BE CH4-AS'!B107,0,F107-H107))))</f>
        <v>0</v>
      </c>
      <c r="H110" s="12"/>
      <c r="I110" s="12"/>
      <c r="J110" s="8"/>
      <c r="K110" s="22"/>
      <c r="L110" s="22"/>
      <c r="M110" s="22"/>
      <c r="N110" s="2"/>
      <c r="O110" s="1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row>
    <row r="111" spans="1:94" ht="128" thickBot="1" x14ac:dyDescent="0.35">
      <c r="G111" s="46" t="s">
        <v>927</v>
      </c>
      <c r="H111" s="12"/>
      <c r="I111" s="12"/>
      <c r="J111" s="8"/>
      <c r="K111" s="22"/>
      <c r="L111" s="22"/>
      <c r="M111" s="22"/>
      <c r="O111" s="10"/>
    </row>
    <row r="112" spans="1:94" x14ac:dyDescent="0.25">
      <c r="K112" s="20"/>
      <c r="L112" s="20"/>
      <c r="M112" s="20"/>
    </row>
    <row r="113" spans="1:94" ht="13.5" thickBot="1" x14ac:dyDescent="0.35">
      <c r="B113" s="9"/>
      <c r="C113" s="53"/>
      <c r="K113" s="45"/>
      <c r="L113" s="45"/>
      <c r="O113" s="10"/>
      <c r="P113" s="18"/>
    </row>
    <row r="114" spans="1:94" s="49" customFormat="1" ht="12" customHeight="1" x14ac:dyDescent="0.3">
      <c r="A114" s="2"/>
      <c r="B114" s="9"/>
      <c r="C114" s="53"/>
      <c r="D114" s="3"/>
      <c r="E114" s="1083" t="s">
        <v>925</v>
      </c>
      <c r="F114" s="1084"/>
      <c r="G114" s="1084"/>
      <c r="H114" s="1084"/>
      <c r="I114" s="1084"/>
      <c r="J114" s="1085"/>
      <c r="K114" s="2"/>
      <c r="L114" s="2"/>
      <c r="M114" s="2"/>
      <c r="N114" s="9"/>
      <c r="O114" s="10"/>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row>
    <row r="115" spans="1:94" s="49" customFormat="1" ht="13.5" thickBot="1" x14ac:dyDescent="0.35">
      <c r="A115" s="2"/>
      <c r="B115" s="9"/>
      <c r="C115" s="53"/>
      <c r="D115" s="3"/>
      <c r="E115" s="1086"/>
      <c r="F115" s="1087"/>
      <c r="G115" s="1087"/>
      <c r="H115" s="1087"/>
      <c r="I115" s="1087"/>
      <c r="J115" s="1088"/>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row>
    <row r="116" spans="1:94" ht="65.5" thickBot="1" x14ac:dyDescent="0.35">
      <c r="B116" s="23" t="str">
        <f>'III. Datos Entrada-BE'!C55</f>
        <v>Novillas de reemplazo/crecimiento (en pastos o pastizales) 
Replacement/growing heifers (in pasture or rangeland)</v>
      </c>
      <c r="C116" s="24">
        <f>'III. Datos Entrada-BE'!B136</f>
        <v>0</v>
      </c>
      <c r="D116" s="25"/>
      <c r="E116" s="1089"/>
      <c r="F116" s="1090"/>
      <c r="G116" s="1090"/>
      <c r="H116" s="1090"/>
      <c r="I116" s="1090"/>
      <c r="J116" s="1091"/>
    </row>
    <row r="117" spans="1:94" ht="15" x14ac:dyDescent="0.4">
      <c r="B117" s="574" t="s">
        <v>158</v>
      </c>
      <c r="C117" s="666">
        <f>'III. Datos Entrada-BE'!D106</f>
        <v>2.4900000000000002</v>
      </c>
      <c r="E117" s="8"/>
      <c r="F117" s="12"/>
      <c r="G117" s="12"/>
      <c r="H117" s="12"/>
      <c r="I117" s="12"/>
      <c r="J117" s="12"/>
    </row>
    <row r="118" spans="1:94" ht="13.5" thickBot="1" x14ac:dyDescent="0.35">
      <c r="B118" s="69"/>
      <c r="C118" s="420"/>
      <c r="E118" s="8"/>
      <c r="F118" s="12"/>
      <c r="G118" s="12"/>
      <c r="H118" s="12"/>
      <c r="I118" s="12"/>
      <c r="J118" s="12"/>
    </row>
    <row r="119" spans="1:94" ht="27.5" thickBot="1" x14ac:dyDescent="0.45">
      <c r="B119" s="905" t="s">
        <v>442</v>
      </c>
      <c r="C119" s="269" t="s">
        <v>922</v>
      </c>
      <c r="D119" s="59" t="s">
        <v>159</v>
      </c>
      <c r="E119" s="60" t="s">
        <v>160</v>
      </c>
      <c r="F119" s="61" t="s">
        <v>161</v>
      </c>
      <c r="G119" s="60" t="s">
        <v>162</v>
      </c>
      <c r="H119" s="61" t="s">
        <v>163</v>
      </c>
      <c r="I119" s="62" t="s">
        <v>164</v>
      </c>
      <c r="J119" s="63" t="s">
        <v>165</v>
      </c>
    </row>
    <row r="120" spans="1:94" ht="13" thickBot="1" x14ac:dyDescent="0.3">
      <c r="B120" s="29" t="str">
        <f>'III. Datos Entrada-BE'!$B$32</f>
        <v>enero</v>
      </c>
      <c r="C120" s="416">
        <f>'III. Datos Entrada-BE'!$E$32</f>
        <v>31</v>
      </c>
      <c r="D120" s="50">
        <f>MIN(0.95, MAX(0.104,EXP(15175*(('III. Datos Entrada-BE'!D59+273)-303.16)/(1.987*('III. Datos Entrada-BE'!D59+273)*303.16))))</f>
        <v>0.104</v>
      </c>
      <c r="E120" s="51">
        <f t="shared" ref="E120:E131" si="12">$C$117</f>
        <v>2.4900000000000002</v>
      </c>
      <c r="F120" s="50">
        <f>(E120*'III. Datos Entrada-BE'!E79*'III. Datos Entrada-BE'!$E$191*C120*0.8)+G120</f>
        <v>0</v>
      </c>
      <c r="G120" s="32"/>
      <c r="H120" s="31">
        <f>F120*D120</f>
        <v>0</v>
      </c>
      <c r="I120" s="31">
        <f>IF('III. Datos Entrada-BE'!D32=0,0,H120*'III. Datos Entrada-BE'!$C$122*0.717*0.001)*('III. Datos Entrada-BE'!G32/'III. Datos Entrada-BE'!E32)</f>
        <v>0</v>
      </c>
      <c r="J120" s="700">
        <f t="shared" ref="J120:J131" si="13">I120*PCG</f>
        <v>0</v>
      </c>
    </row>
    <row r="121" spans="1:94" s="9" customFormat="1" ht="13.5" thickBot="1" x14ac:dyDescent="0.35">
      <c r="B121" s="529" t="str">
        <f>'III. Datos Entrada-BE'!$B$33</f>
        <v>febrero</v>
      </c>
      <c r="C121" s="667">
        <f>'III. Datos Entrada-BE'!$E$33</f>
        <v>28</v>
      </c>
      <c r="D121" s="675">
        <f>MIN(0.95, MAX(0.104,EXP(15175*(('III. Datos Entrada-BE'!D60+273)-303.16)/(1.987*('III. Datos Entrada-BE'!D60+273)*303.16))))</f>
        <v>0.104</v>
      </c>
      <c r="E121" s="620">
        <f t="shared" si="12"/>
        <v>2.4900000000000002</v>
      </c>
      <c r="F121" s="675">
        <f>(E121*'III. Datos Entrada-BE'!E80*'III. Datos Entrada-BE'!$E$191*C121*0.8)+G121</f>
        <v>0</v>
      </c>
      <c r="G121" s="670">
        <f>IF('III. Datos Entrada-BE'!$E$164=B120,0,IF('III. Datos Entrada-BE'!$F$164=B120,0,IF('III. Datos Entrada-BE'!$G$164=B120,0,IF('III. Datos Entrada-BE'!$C$164="Sí",0,(F120-H120)))))</f>
        <v>0</v>
      </c>
      <c r="H121" s="668">
        <f t="shared" ref="H121:H131" si="14">F121*D121</f>
        <v>0</v>
      </c>
      <c r="I121" s="668">
        <f>IF('III. Datos Entrada-BE'!D33=0,0,H121*'III. Datos Entrada-BE'!$C$122*0.717*0.001)*('III. Datos Entrada-BE'!G33/'III. Datos Entrada-BE'!E33)</f>
        <v>0</v>
      </c>
      <c r="J121" s="700">
        <f t="shared" si="13"/>
        <v>0</v>
      </c>
      <c r="K121" s="38"/>
      <c r="L121" s="38"/>
      <c r="M121" s="39"/>
    </row>
    <row r="122" spans="1:94" ht="13" thickBot="1" x14ac:dyDescent="0.3">
      <c r="B122" s="529" t="str">
        <f>'III. Datos Entrada-BE'!$B$34</f>
        <v>marzo</v>
      </c>
      <c r="C122" s="667">
        <f>'III. Datos Entrada-BE'!$E$34</f>
        <v>31</v>
      </c>
      <c r="D122" s="675">
        <f>MIN(0.95, MAX(0.104,EXP(15175*(('III. Datos Entrada-BE'!D61+273)-303.16)/(1.987*('III. Datos Entrada-BE'!D61+273)*303.16))))</f>
        <v>0.104</v>
      </c>
      <c r="E122" s="620">
        <f t="shared" si="12"/>
        <v>2.4900000000000002</v>
      </c>
      <c r="F122" s="675">
        <f>(E122*'III. Datos Entrada-BE'!E81*'III. Datos Entrada-BE'!$E$191*C122*0.8)+G122</f>
        <v>0</v>
      </c>
      <c r="G122" s="670">
        <f>IF('III. Datos Entrada-BE'!$E$164=B121,0,IF('III. Datos Entrada-BE'!$F$164=B121,0,IF('III. Datos Entrada-BE'!$G$164=B121,0,IF('III. Datos Entrada-BE'!$C$164="Sí",0,(F121-H121)))))</f>
        <v>0</v>
      </c>
      <c r="H122" s="668">
        <f t="shared" si="14"/>
        <v>0</v>
      </c>
      <c r="I122" s="668">
        <f>IF('III. Datos Entrada-BE'!D34=0,0,H122*'III. Datos Entrada-BE'!$C$122*0.717*0.001)*('III. Datos Entrada-BE'!G34/'III. Datos Entrada-BE'!E34)</f>
        <v>0</v>
      </c>
      <c r="J122" s="700">
        <f t="shared" si="13"/>
        <v>0</v>
      </c>
    </row>
    <row r="123" spans="1:94" s="9" customFormat="1" ht="13.5" thickBot="1" x14ac:dyDescent="0.35">
      <c r="B123" s="529" t="str">
        <f>'III. Datos Entrada-BE'!$B$35</f>
        <v>abril</v>
      </c>
      <c r="C123" s="667">
        <f>'III. Datos Entrada-BE'!$E$35</f>
        <v>30</v>
      </c>
      <c r="D123" s="675">
        <f>MIN(0.95, MAX(0.104,EXP(15175*(('III. Datos Entrada-BE'!D62+273)-303.16)/(1.987*('III. Datos Entrada-BE'!D62+273)*303.16))))</f>
        <v>0.104</v>
      </c>
      <c r="E123" s="620">
        <f t="shared" si="12"/>
        <v>2.4900000000000002</v>
      </c>
      <c r="F123" s="675">
        <f>(E123*'III. Datos Entrada-BE'!E82*'III. Datos Entrada-BE'!$E$191*C123*0.8)+G123</f>
        <v>0</v>
      </c>
      <c r="G123" s="670">
        <f>IF('III. Datos Entrada-BE'!$E$164=B122,0,IF('III. Datos Entrada-BE'!$F$164=B122,0,IF('III. Datos Entrada-BE'!$G$164=B122,0,IF('III. Datos Entrada-BE'!$C$164="Sí",0,(F122-H122)))))</f>
        <v>0</v>
      </c>
      <c r="H123" s="668">
        <f t="shared" si="14"/>
        <v>0</v>
      </c>
      <c r="I123" s="668">
        <f>IF('III. Datos Entrada-BE'!D35=0,0,H123*'III. Datos Entrada-BE'!$C$122*0.717*0.001)*('III. Datos Entrada-BE'!G35/'III. Datos Entrada-BE'!E35)</f>
        <v>0</v>
      </c>
      <c r="J123" s="700">
        <f t="shared" si="13"/>
        <v>0</v>
      </c>
      <c r="K123" s="22"/>
      <c r="L123" s="22"/>
      <c r="M123" s="22"/>
      <c r="O123" s="22"/>
      <c r="P123" s="70"/>
      <c r="Q123" s="70"/>
      <c r="R123" s="70"/>
    </row>
    <row r="124" spans="1:94" ht="13.5" thickBot="1" x14ac:dyDescent="0.35">
      <c r="B124" s="529" t="str">
        <f>'III. Datos Entrada-BE'!$B$36</f>
        <v>mayo</v>
      </c>
      <c r="C124" s="667">
        <f>'III. Datos Entrada-BE'!$E$36</f>
        <v>31</v>
      </c>
      <c r="D124" s="675">
        <f>MIN(0.95, MAX(0.104,EXP(15175*(('III. Datos Entrada-BE'!D63+273)-303.16)/(1.987*('III. Datos Entrada-BE'!D63+273)*303.16))))</f>
        <v>0.104</v>
      </c>
      <c r="E124" s="620">
        <f t="shared" si="12"/>
        <v>2.4900000000000002</v>
      </c>
      <c r="F124" s="675">
        <f>(E124*'III. Datos Entrada-BE'!E83*'III. Datos Entrada-BE'!$E$191*C124*0.8)+G124</f>
        <v>0</v>
      </c>
      <c r="G124" s="670">
        <f>IF('III. Datos Entrada-BE'!$E$164=B123,0,IF('III. Datos Entrada-BE'!$F$164=B123,0,IF('III. Datos Entrada-BE'!$G$164=B123,0,IF('III. Datos Entrada-BE'!$C$164="Sí",0,(F123-H123)))))</f>
        <v>0</v>
      </c>
      <c r="H124" s="668">
        <f t="shared" si="14"/>
        <v>0</v>
      </c>
      <c r="I124" s="668">
        <f>IF('III. Datos Entrada-BE'!D36=0,0,H124*'III. Datos Entrada-BE'!$C$122*0.717*0.001)*('III. Datos Entrada-BE'!G36/'III. Datos Entrada-BE'!E36)</f>
        <v>0</v>
      </c>
      <c r="J124" s="700">
        <f t="shared" si="13"/>
        <v>0</v>
      </c>
      <c r="K124" s="22"/>
      <c r="L124" s="22"/>
      <c r="M124" s="22"/>
      <c r="O124" s="22"/>
      <c r="P124" s="20"/>
      <c r="Q124" s="20"/>
      <c r="R124" s="20"/>
    </row>
    <row r="125" spans="1:94" ht="13.5" thickBot="1" x14ac:dyDescent="0.35">
      <c r="B125" s="529" t="str">
        <f>'III. Datos Entrada-BE'!$B$37</f>
        <v>junio</v>
      </c>
      <c r="C125" s="667">
        <f>'III. Datos Entrada-BE'!$E$37</f>
        <v>30</v>
      </c>
      <c r="D125" s="675">
        <f>MIN(0.95, MAX(0.104,EXP(15175*(('III. Datos Entrada-BE'!D64+273)-303.16)/(1.987*('III. Datos Entrada-BE'!D64+273)*303.16))))</f>
        <v>0.104</v>
      </c>
      <c r="E125" s="620">
        <f t="shared" si="12"/>
        <v>2.4900000000000002</v>
      </c>
      <c r="F125" s="675">
        <f>(E125*'III. Datos Entrada-BE'!E84*'III. Datos Entrada-BE'!$E$191*C125*0.8)+G125</f>
        <v>0</v>
      </c>
      <c r="G125" s="670">
        <f>IF('III. Datos Entrada-BE'!$E$164=B124,0,IF('III. Datos Entrada-BE'!$F$164=B124,0,IF('III. Datos Entrada-BE'!$G$164=B124,0,IF('III. Datos Entrada-BE'!$C$164="Sí",0,(F124-H124)))))</f>
        <v>0</v>
      </c>
      <c r="H125" s="668">
        <f t="shared" si="14"/>
        <v>0</v>
      </c>
      <c r="I125" s="668">
        <f>IF('III. Datos Entrada-BE'!D37=0,0,H125*'III. Datos Entrada-BE'!$C$122*0.717*0.001)*('III. Datos Entrada-BE'!G37/'III. Datos Entrada-BE'!E37)</f>
        <v>0</v>
      </c>
      <c r="J125" s="700">
        <f t="shared" si="13"/>
        <v>0</v>
      </c>
      <c r="K125" s="22"/>
      <c r="L125" s="22"/>
      <c r="M125" s="22"/>
      <c r="O125" s="22"/>
      <c r="P125" s="20"/>
      <c r="Q125" s="20"/>
      <c r="R125" s="20"/>
    </row>
    <row r="126" spans="1:94" ht="13" thickBot="1" x14ac:dyDescent="0.3">
      <c r="B126" s="529" t="str">
        <f>'III. Datos Entrada-BE'!$B$38</f>
        <v>julio</v>
      </c>
      <c r="C126" s="667">
        <f>'III. Datos Entrada-BE'!$E$38</f>
        <v>31</v>
      </c>
      <c r="D126" s="675">
        <f>MIN(0.95, MAX(0.104,EXP(15175*(('III. Datos Entrada-BE'!D65+273)-303.16)/(1.987*('III. Datos Entrada-BE'!D65+273)*303.16))))</f>
        <v>0.104</v>
      </c>
      <c r="E126" s="620">
        <f t="shared" si="12"/>
        <v>2.4900000000000002</v>
      </c>
      <c r="F126" s="675">
        <f>(E126*'III. Datos Entrada-BE'!E85*'III. Datos Entrada-BE'!$E$191*C126*0.8)+G126</f>
        <v>0</v>
      </c>
      <c r="G126" s="670">
        <f>IF('III. Datos Entrada-BE'!$E$164=B125,0,IF('III. Datos Entrada-BE'!$F$164=B125,0,IF('III. Datos Entrada-BE'!$G$164=B125,0,IF('III. Datos Entrada-BE'!$C$164="Sí",0,(F125-H125)))))</f>
        <v>0</v>
      </c>
      <c r="H126" s="668">
        <f t="shared" si="14"/>
        <v>0</v>
      </c>
      <c r="I126" s="668">
        <f>IF('III. Datos Entrada-BE'!D38=0,0,H126*'III. Datos Entrada-BE'!$C$122*0.717*0.001)*('III. Datos Entrada-BE'!G38/'III. Datos Entrada-BE'!E38)</f>
        <v>0</v>
      </c>
      <c r="J126" s="700">
        <f t="shared" si="13"/>
        <v>0</v>
      </c>
      <c r="K126" s="20"/>
      <c r="L126" s="20"/>
      <c r="M126" s="20"/>
    </row>
    <row r="127" spans="1:94" ht="13" thickBot="1" x14ac:dyDescent="0.3">
      <c r="B127" s="529" t="str">
        <f>'III. Datos Entrada-BE'!$B$39</f>
        <v>agosto</v>
      </c>
      <c r="C127" s="667">
        <f>'III. Datos Entrada-BE'!$E$39</f>
        <v>31</v>
      </c>
      <c r="D127" s="675">
        <f>MIN(0.95, MAX(0.104,EXP(15175*(('III. Datos Entrada-BE'!D66+273)-303.16)/(1.987*('III. Datos Entrada-BE'!D66+273)*303.16))))</f>
        <v>0.104</v>
      </c>
      <c r="E127" s="620">
        <f t="shared" si="12"/>
        <v>2.4900000000000002</v>
      </c>
      <c r="F127" s="675">
        <f>(E127*'III. Datos Entrada-BE'!E86*'III. Datos Entrada-BE'!$E$191*C127*0.8)+G127</f>
        <v>0</v>
      </c>
      <c r="G127" s="670">
        <f>IF('III. Datos Entrada-BE'!$E$164=B126,0,IF('III. Datos Entrada-BE'!$F$164=B126,0,IF('III. Datos Entrada-BE'!$G$164=B126,0,IF('III. Datos Entrada-BE'!$C$164="Sí",0,(F126-H126)))))</f>
        <v>0</v>
      </c>
      <c r="H127" s="668">
        <f t="shared" si="14"/>
        <v>0</v>
      </c>
      <c r="I127" s="668">
        <f>IF('III. Datos Entrada-BE'!D39=0,0,H127*'III. Datos Entrada-BE'!$C$122*0.717*0.001)*('III. Datos Entrada-BE'!G39/'III. Datos Entrada-BE'!E39)</f>
        <v>0</v>
      </c>
      <c r="J127" s="700">
        <f t="shared" si="13"/>
        <v>0</v>
      </c>
      <c r="K127" s="45"/>
      <c r="L127" s="45"/>
    </row>
    <row r="128" spans="1:94" ht="13" thickBot="1" x14ac:dyDescent="0.3">
      <c r="B128" s="529" t="str">
        <f>'III. Datos Entrada-BE'!$B$40</f>
        <v>septiembre</v>
      </c>
      <c r="C128" s="667">
        <f>'III. Datos Entrada-BE'!$E$40</f>
        <v>30</v>
      </c>
      <c r="D128" s="675">
        <f>MIN(0.95, MAX(0.104,EXP(15175*(('III. Datos Entrada-BE'!D67+273)-303.16)/(1.987*('III. Datos Entrada-BE'!D67+273)*303.16))))</f>
        <v>0.104</v>
      </c>
      <c r="E128" s="620">
        <f t="shared" si="12"/>
        <v>2.4900000000000002</v>
      </c>
      <c r="F128" s="675">
        <f>(E128*'III. Datos Entrada-BE'!E87*'III. Datos Entrada-BE'!$E$191*C128*0.8)+G128</f>
        <v>0</v>
      </c>
      <c r="G128" s="670">
        <f>IF('III. Datos Entrada-BE'!$E$164=B127,0,IF('III. Datos Entrada-BE'!$F$164=B127,0,IF('III. Datos Entrada-BE'!$G$164=B127,0,IF('III. Datos Entrada-BE'!$C$164="Sí",0,(F127-H127)))))</f>
        <v>0</v>
      </c>
      <c r="H128" s="668">
        <f t="shared" si="14"/>
        <v>0</v>
      </c>
      <c r="I128" s="668">
        <f>IF('III. Datos Entrada-BE'!D40=0,0,H128*'III. Datos Entrada-BE'!$C$122*0.717*0.001)*('III. Datos Entrada-BE'!G40/'III. Datos Entrada-BE'!E40)</f>
        <v>0</v>
      </c>
      <c r="J128" s="700">
        <f t="shared" si="13"/>
        <v>0</v>
      </c>
    </row>
    <row r="129" spans="1:94" ht="13" thickBot="1" x14ac:dyDescent="0.3">
      <c r="B129" s="529" t="str">
        <f>'III. Datos Entrada-BE'!$B$41</f>
        <v>octubre</v>
      </c>
      <c r="C129" s="667">
        <f>'III. Datos Entrada-BE'!$E$41</f>
        <v>31</v>
      </c>
      <c r="D129" s="675">
        <f>MIN(0.95, MAX(0.104,EXP(15175*(('III. Datos Entrada-BE'!C68+273)-303.16)/(1.987*('III. Datos Entrada-BE'!C68+273)*303.16))))</f>
        <v>0.104</v>
      </c>
      <c r="E129" s="620">
        <f t="shared" si="12"/>
        <v>2.4900000000000002</v>
      </c>
      <c r="F129" s="675">
        <f>(E129*'III. Datos Entrada-BE'!E88*'III. Datos Entrada-BE'!$E$191*C129*0.8)+G129</f>
        <v>0</v>
      </c>
      <c r="G129" s="670">
        <f>IF('III. Datos Entrada-BE'!$E$164=B128,0,IF('III. Datos Entrada-BE'!$F$164=B128,0,IF('III. Datos Entrada-BE'!$G$164=B128,0,IF('III. Datos Entrada-BE'!$C$164="Sí",0,(F128-H128)))))</f>
        <v>0</v>
      </c>
      <c r="H129" s="668">
        <f t="shared" si="14"/>
        <v>0</v>
      </c>
      <c r="I129" s="668">
        <f>IF('III. Datos Entrada-BE'!D41=0,0,H129*'III. Datos Entrada-BE'!$C$122*0.717*0.001)*('III. Datos Entrada-BE'!G41/'III. Datos Entrada-BE'!E41)</f>
        <v>0</v>
      </c>
      <c r="J129" s="700">
        <f t="shared" si="13"/>
        <v>0</v>
      </c>
    </row>
    <row r="130" spans="1:94" ht="13" thickBot="1" x14ac:dyDescent="0.3">
      <c r="B130" s="529" t="str">
        <f>'III. Datos Entrada-BE'!$B$42</f>
        <v>noviembre</v>
      </c>
      <c r="C130" s="667">
        <f>'III. Datos Entrada-BE'!$E$42</f>
        <v>30</v>
      </c>
      <c r="D130" s="675">
        <f>MIN(0.95, MAX(0.104,EXP(15175*(('III. Datos Entrada-BE'!C69+273)-303.16)/(1.987*('III. Datos Entrada-BE'!C69+273)*303.16))))</f>
        <v>0.104</v>
      </c>
      <c r="E130" s="620">
        <f t="shared" si="12"/>
        <v>2.4900000000000002</v>
      </c>
      <c r="F130" s="675">
        <f>(E130*'III. Datos Entrada-BE'!E89*'III. Datos Entrada-BE'!$E$191*C130*0.8)+G130</f>
        <v>0</v>
      </c>
      <c r="G130" s="670">
        <f>IF('III. Datos Entrada-BE'!$E$164=B129,0,IF('III. Datos Entrada-BE'!$F$164=B129,0,IF('III. Datos Entrada-BE'!$G$164=B129,0,IF('III. Datos Entrada-BE'!$C$164="Sí",0,(F129-H129)))))</f>
        <v>0</v>
      </c>
      <c r="H130" s="668">
        <f t="shared" si="14"/>
        <v>0</v>
      </c>
      <c r="I130" s="668">
        <f>IF('III. Datos Entrada-BE'!D42=0,0,H130*'III. Datos Entrada-BE'!$C$122*0.717*0.001)*('III. Datos Entrada-BE'!G42/'III. Datos Entrada-BE'!E42)</f>
        <v>0</v>
      </c>
      <c r="J130" s="700">
        <f t="shared" si="13"/>
        <v>0</v>
      </c>
    </row>
    <row r="131" spans="1:94" ht="13" thickBot="1" x14ac:dyDescent="0.3">
      <c r="B131" s="553" t="str">
        <f>'III. Datos Entrada-BE'!$B$43</f>
        <v>diciembre</v>
      </c>
      <c r="C131" s="671">
        <f>'III. Datos Entrada-BE'!$E$43</f>
        <v>31</v>
      </c>
      <c r="D131" s="677">
        <f>MIN(0.95, MAX(0.104,EXP(15175*(('III. Datos Entrada-BE'!C70+273)-303.16)/(1.987*('III. Datos Entrada-BE'!C70+273)*303.16))))</f>
        <v>0.104</v>
      </c>
      <c r="E131" s="678">
        <f t="shared" si="12"/>
        <v>2.4900000000000002</v>
      </c>
      <c r="F131" s="677">
        <f>(E131*'III. Datos Entrada-BE'!E90*'III. Datos Entrada-BE'!$E$191*C131*0.8)+G131</f>
        <v>0</v>
      </c>
      <c r="G131" s="670">
        <f>IF('III. Datos Entrada-BE'!$E$164=B130,0,IF('III. Datos Entrada-BE'!$F$164=B130,0,IF('III. Datos Entrada-BE'!$G$164=B130,0,IF('III. Datos Entrada-BE'!$C$164="Sí",0,(F130-H130)))))</f>
        <v>0</v>
      </c>
      <c r="H131" s="575">
        <f t="shared" si="14"/>
        <v>0</v>
      </c>
      <c r="I131" s="575">
        <f>IF('III. Datos Entrada-BE'!D43=0,0,H131*'III. Datos Entrada-BE'!$C$122*0.717*0.001)*('III. Datos Entrada-BE'!G43/'III. Datos Entrada-BE'!E43)</f>
        <v>0</v>
      </c>
      <c r="J131" s="700">
        <f t="shared" si="13"/>
        <v>0</v>
      </c>
    </row>
    <row r="132" spans="1:94" ht="13.5" thickBot="1" x14ac:dyDescent="0.35">
      <c r="B132" s="27" t="s">
        <v>167</v>
      </c>
      <c r="C132" s="504"/>
      <c r="D132" s="505"/>
      <c r="E132" s="505"/>
      <c r="F132" s="506"/>
      <c r="G132" s="507"/>
      <c r="H132" s="906">
        <f>SUM(H120:H131)</f>
        <v>0</v>
      </c>
      <c r="I132" s="376">
        <f>SUM(I120:I131)</f>
        <v>0</v>
      </c>
      <c r="J132" s="54">
        <f>SUM(J120:J131)</f>
        <v>0</v>
      </c>
    </row>
    <row r="133" spans="1:94" ht="13.5" thickBot="1" x14ac:dyDescent="0.35">
      <c r="B133" s="9"/>
      <c r="C133" s="70"/>
      <c r="D133" s="12"/>
      <c r="E133" s="12"/>
      <c r="F133" s="8"/>
      <c r="G133" s="8"/>
      <c r="H133" s="12"/>
      <c r="I133" s="12"/>
      <c r="J133" s="8"/>
    </row>
    <row r="134" spans="1:94" s="49" customFormat="1" ht="26" customHeight="1" thickBot="1" x14ac:dyDescent="0.35">
      <c r="A134" s="2"/>
      <c r="B134" s="1232" t="s">
        <v>928</v>
      </c>
      <c r="C134" s="1233"/>
      <c r="D134" s="1233"/>
      <c r="E134" s="1233"/>
      <c r="F134" s="1234"/>
      <c r="G134" s="456">
        <f>IF('III. Datos Entrada-BE'!C$164="Sí",0,IF('III. Datos Entrada-BE'!E$164=B131,0,IF('III. Datos Entrada-BE'!F$164='V. BE CH4-AS'!B131,0,IF('III. Datos Entrada-BE'!G$164='V. BE CH4-AS'!B131,0,F131-H131))))</f>
        <v>0</v>
      </c>
      <c r="H134" s="12"/>
      <c r="I134" s="12"/>
      <c r="J134" s="8"/>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row>
    <row r="135" spans="1:94" ht="128" thickBot="1" x14ac:dyDescent="0.35">
      <c r="G135" s="46" t="s">
        <v>927</v>
      </c>
      <c r="H135" s="12"/>
      <c r="I135" s="12"/>
      <c r="J135" s="8"/>
    </row>
    <row r="136" spans="1:94" ht="13" x14ac:dyDescent="0.3">
      <c r="B136" s="9"/>
      <c r="C136" s="53"/>
    </row>
    <row r="137" spans="1:94" ht="13.5" thickBot="1" x14ac:dyDescent="0.35">
      <c r="B137" s="9"/>
      <c r="C137" s="53"/>
    </row>
    <row r="138" spans="1:94" s="49" customFormat="1" ht="12" customHeight="1" x14ac:dyDescent="0.3">
      <c r="A138" s="2"/>
      <c r="B138" s="9"/>
      <c r="C138" s="53"/>
      <c r="D138" s="3"/>
      <c r="E138" s="1083" t="s">
        <v>924</v>
      </c>
      <c r="F138" s="1084"/>
      <c r="G138" s="1084"/>
      <c r="H138" s="1084"/>
      <c r="I138" s="1084"/>
      <c r="J138" s="1085"/>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row>
    <row r="139" spans="1:94" s="49" customFormat="1" ht="13.5" thickBot="1" x14ac:dyDescent="0.35">
      <c r="A139" s="2"/>
      <c r="B139" s="9"/>
      <c r="C139" s="53"/>
      <c r="D139" s="3"/>
      <c r="E139" s="1086"/>
      <c r="F139" s="1087"/>
      <c r="G139" s="1087"/>
      <c r="H139" s="1087"/>
      <c r="I139" s="1087"/>
      <c r="J139" s="1088"/>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row>
    <row r="140" spans="1:94" ht="65.5" thickBot="1" x14ac:dyDescent="0.35">
      <c r="B140" s="23" t="str">
        <f>B116</f>
        <v>Novillas de reemplazo/crecimiento (en pastos o pastizales) 
Replacement/growing heifers (in pasture or rangeland)</v>
      </c>
      <c r="C140" s="24">
        <f>'III. Datos Entrada-BE'!B137</f>
        <v>0</v>
      </c>
      <c r="D140" s="25"/>
      <c r="E140" s="1089"/>
      <c r="F140" s="1090"/>
      <c r="G140" s="1090"/>
      <c r="H140" s="1090"/>
      <c r="I140" s="1090"/>
      <c r="J140" s="1091"/>
    </row>
    <row r="141" spans="1:94" ht="15" x14ac:dyDescent="0.4">
      <c r="B141" s="574" t="s">
        <v>158</v>
      </c>
      <c r="C141" s="666">
        <f>C117</f>
        <v>2.4900000000000002</v>
      </c>
      <c r="E141" s="8"/>
      <c r="F141" s="12"/>
      <c r="G141" s="12"/>
      <c r="H141" s="12"/>
      <c r="I141" s="12"/>
      <c r="J141" s="12"/>
    </row>
    <row r="142" spans="1:94" s="9" customFormat="1" ht="13.5" thickBot="1" x14ac:dyDescent="0.35">
      <c r="B142" s="69"/>
      <c r="C142" s="420"/>
      <c r="D142" s="3"/>
      <c r="E142" s="8"/>
      <c r="F142" s="12"/>
      <c r="G142" s="12"/>
      <c r="H142" s="12"/>
      <c r="I142" s="12"/>
      <c r="J142" s="12"/>
      <c r="K142" s="38"/>
      <c r="L142" s="38"/>
      <c r="M142" s="39"/>
      <c r="N142" s="39"/>
      <c r="O142" s="22"/>
      <c r="Q142" s="38"/>
    </row>
    <row r="143" spans="1:94" ht="27.5" thickBot="1" x14ac:dyDescent="0.45">
      <c r="B143" s="905" t="s">
        <v>442</v>
      </c>
      <c r="C143" s="269" t="s">
        <v>922</v>
      </c>
      <c r="D143" s="59" t="s">
        <v>159</v>
      </c>
      <c r="E143" s="60" t="s">
        <v>160</v>
      </c>
      <c r="F143" s="61" t="s">
        <v>161</v>
      </c>
      <c r="G143" s="60" t="s">
        <v>162</v>
      </c>
      <c r="H143" s="61" t="s">
        <v>163</v>
      </c>
      <c r="I143" s="62" t="s">
        <v>164</v>
      </c>
      <c r="J143" s="63" t="s">
        <v>165</v>
      </c>
    </row>
    <row r="144" spans="1:94" ht="13" thickBot="1" x14ac:dyDescent="0.3">
      <c r="B144" s="29" t="str">
        <f>'III. Datos Entrada-BE'!$B$32</f>
        <v>enero</v>
      </c>
      <c r="C144" s="416">
        <f>'III. Datos Entrada-BE'!$E$32</f>
        <v>31</v>
      </c>
      <c r="D144" s="50">
        <f>MIN(0.95, MAX(0.104,EXP(15175*(('III. Datos Entrada-BE'!C32+273)-303.16)/(1.987*('III. Datos Entrada-BE'!C32+273)*303.16))))</f>
        <v>0.104</v>
      </c>
      <c r="E144" s="51">
        <f t="shared" ref="E144:E155" si="15">$C$141</f>
        <v>2.4900000000000002</v>
      </c>
      <c r="F144" s="50">
        <f>(E144*'III. Datos Entrada-BE'!E79*'III. Datos Entrada-BE'!$E$192*C144*0.8)+G144</f>
        <v>0</v>
      </c>
      <c r="G144" s="32"/>
      <c r="H144" s="31">
        <f>F144*D144</f>
        <v>0</v>
      </c>
      <c r="I144" s="31">
        <f>IF('III. Datos Entrada-BE'!D32=0,0,H144*'III. Datos Entrada-BE'!$C$122*0.717*0.001)*('III. Datos Entrada-BE'!G32/'III. Datos Entrada-BE'!E32)</f>
        <v>0</v>
      </c>
      <c r="J144" s="700">
        <f t="shared" ref="J144:J155" si="16">I144*PCG</f>
        <v>0</v>
      </c>
      <c r="K144" s="45"/>
      <c r="L144" s="45"/>
      <c r="O144" s="10"/>
      <c r="P144" s="18"/>
    </row>
    <row r="145" spans="1:94" ht="13.5" thickBot="1" x14ac:dyDescent="0.35">
      <c r="B145" s="529" t="str">
        <f>'III. Datos Entrada-BE'!$B$33</f>
        <v>febrero</v>
      </c>
      <c r="C145" s="667">
        <f>'III. Datos Entrada-BE'!$E$33</f>
        <v>28</v>
      </c>
      <c r="D145" s="675">
        <f>MIN(0.95, MAX(0.104,EXP(15175*(('III. Datos Entrada-BE'!C33+273)-303.16)/(1.987*('III. Datos Entrada-BE'!C33+273)*303.16))))</f>
        <v>0.104</v>
      </c>
      <c r="E145" s="620">
        <f t="shared" si="15"/>
        <v>2.4900000000000002</v>
      </c>
      <c r="F145" s="675">
        <f>(E145*'III. Datos Entrada-BE'!E80*'III. Datos Entrada-BE'!$E$192*C145*0.8)+G145</f>
        <v>0</v>
      </c>
      <c r="G145" s="670">
        <f>IF('III. Datos Entrada-BE'!$E$165=B144,0,IF('III. Datos Entrada-BE'!$F$165=B144,0,IF('III. Datos Entrada-BE'!$G$165=B144,0,IF('III. Datos Entrada-BE'!$C$165="Sí",0,(F144-H144)))))</f>
        <v>0</v>
      </c>
      <c r="H145" s="668">
        <f t="shared" ref="H145:H155" si="17">F145*D145</f>
        <v>0</v>
      </c>
      <c r="I145" s="668">
        <f>IF('III. Datos Entrada-BE'!D33=0,0,H145*'III. Datos Entrada-BE'!$C$122*0.717*0.001)*('III. Datos Entrada-BE'!G33/'III. Datos Entrada-BE'!E33)</f>
        <v>0</v>
      </c>
      <c r="J145" s="700">
        <f t="shared" si="16"/>
        <v>0</v>
      </c>
      <c r="N145" s="9"/>
      <c r="O145" s="10"/>
    </row>
    <row r="146" spans="1:94" ht="13" thickBot="1" x14ac:dyDescent="0.3">
      <c r="B146" s="529" t="str">
        <f>'III. Datos Entrada-BE'!$B$34</f>
        <v>marzo</v>
      </c>
      <c r="C146" s="667">
        <f>'III. Datos Entrada-BE'!$E$34</f>
        <v>31</v>
      </c>
      <c r="D146" s="675">
        <f>MIN(0.95, MAX(0.104,EXP(15175*(('III. Datos Entrada-BE'!C34+273)-303.16)/(1.987*('III. Datos Entrada-BE'!C34+273)*303.16))))</f>
        <v>0.104</v>
      </c>
      <c r="E146" s="620">
        <f t="shared" si="15"/>
        <v>2.4900000000000002</v>
      </c>
      <c r="F146" s="675">
        <f>(E146*'III. Datos Entrada-BE'!E81*'III. Datos Entrada-BE'!$E$192*C146*0.8)+G146</f>
        <v>0</v>
      </c>
      <c r="G146" s="670">
        <f>IF('III. Datos Entrada-BE'!$E$165=B145,0,IF('III. Datos Entrada-BE'!$F$165=B145,0,IF('III. Datos Entrada-BE'!$G$165=B145,0,IF('III. Datos Entrada-BE'!$C$165="Sí",0,(F145-H145)))))</f>
        <v>0</v>
      </c>
      <c r="H146" s="668">
        <f t="shared" si="17"/>
        <v>0</v>
      </c>
      <c r="I146" s="668">
        <f>IF('III. Datos Entrada-BE'!D34=0,0,H146*'III. Datos Entrada-BE'!$C$122*0.717*0.001)*('III. Datos Entrada-BE'!G34/'III. Datos Entrada-BE'!E34)</f>
        <v>0</v>
      </c>
      <c r="J146" s="700">
        <f t="shared" si="16"/>
        <v>0</v>
      </c>
    </row>
    <row r="147" spans="1:94" ht="13" thickBot="1" x14ac:dyDescent="0.3">
      <c r="B147" s="529" t="str">
        <f>'III. Datos Entrada-BE'!$B$35</f>
        <v>abril</v>
      </c>
      <c r="C147" s="667">
        <f>'III. Datos Entrada-BE'!$E$35</f>
        <v>30</v>
      </c>
      <c r="D147" s="675">
        <f>MIN(0.95, MAX(0.104,EXP(15175*(('III. Datos Entrada-BE'!C35+273)-303.16)/(1.987*('III. Datos Entrada-BE'!C35+273)*303.16))))</f>
        <v>0.104</v>
      </c>
      <c r="E147" s="620">
        <f t="shared" si="15"/>
        <v>2.4900000000000002</v>
      </c>
      <c r="F147" s="675">
        <f>(E147*'III. Datos Entrada-BE'!E82*'III. Datos Entrada-BE'!$E$192*C147*0.8)+G147</f>
        <v>0</v>
      </c>
      <c r="G147" s="670">
        <f>IF('III. Datos Entrada-BE'!$E$165=B146,0,IF('III. Datos Entrada-BE'!$F$165=B146,0,IF('III. Datos Entrada-BE'!$G$165=B146,0,IF('III. Datos Entrada-BE'!$C$165="Sí",0,(F146-H146)))))</f>
        <v>0</v>
      </c>
      <c r="H147" s="668">
        <f t="shared" si="17"/>
        <v>0</v>
      </c>
      <c r="I147" s="668">
        <f>IF('III. Datos Entrada-BE'!D35=0,0,H147*'III. Datos Entrada-BE'!$C$122*0.717*0.001)*('III. Datos Entrada-BE'!G35/'III. Datos Entrada-BE'!E35)</f>
        <v>0</v>
      </c>
      <c r="J147" s="700">
        <f t="shared" si="16"/>
        <v>0</v>
      </c>
    </row>
    <row r="148" spans="1:94" ht="13" thickBot="1" x14ac:dyDescent="0.3">
      <c r="B148" s="529" t="str">
        <f>'III. Datos Entrada-BE'!$B$36</f>
        <v>mayo</v>
      </c>
      <c r="C148" s="667">
        <f>'III. Datos Entrada-BE'!$E$36</f>
        <v>31</v>
      </c>
      <c r="D148" s="675">
        <f>MIN(0.95, MAX(0.104,EXP(15175*(('III. Datos Entrada-BE'!C36+273)-303.16)/(1.987*('III. Datos Entrada-BE'!C36+273)*303.16))))</f>
        <v>0.104</v>
      </c>
      <c r="E148" s="620">
        <f t="shared" si="15"/>
        <v>2.4900000000000002</v>
      </c>
      <c r="F148" s="675">
        <f>(E148*'III. Datos Entrada-BE'!E83*'III. Datos Entrada-BE'!$E$192*C148*0.8)+G148</f>
        <v>0</v>
      </c>
      <c r="G148" s="670">
        <f>IF('III. Datos Entrada-BE'!$E$165=B147,0,IF('III. Datos Entrada-BE'!$F$165=B147,0,IF('III. Datos Entrada-BE'!$G$165=B147,0,IF('III. Datos Entrada-BE'!$C$165="Sí",0,(F147-H147)))))</f>
        <v>0</v>
      </c>
      <c r="H148" s="668">
        <f t="shared" si="17"/>
        <v>0</v>
      </c>
      <c r="I148" s="668">
        <f>IF('III. Datos Entrada-BE'!D36=0,0,H148*'III. Datos Entrada-BE'!$C$122*0.717*0.001)*('III. Datos Entrada-BE'!G36/'III. Datos Entrada-BE'!E36)</f>
        <v>0</v>
      </c>
      <c r="J148" s="700">
        <f t="shared" si="16"/>
        <v>0</v>
      </c>
    </row>
    <row r="149" spans="1:94" ht="13" thickBot="1" x14ac:dyDescent="0.3">
      <c r="B149" s="529" t="str">
        <f>'III. Datos Entrada-BE'!$B$37</f>
        <v>junio</v>
      </c>
      <c r="C149" s="667">
        <f>'III. Datos Entrada-BE'!$E$37</f>
        <v>30</v>
      </c>
      <c r="D149" s="675">
        <f>MIN(0.95, MAX(0.104,EXP(15175*(('III. Datos Entrada-BE'!C37+273)-303.16)/(1.987*('III. Datos Entrada-BE'!C37+273)*303.16))))</f>
        <v>0.104</v>
      </c>
      <c r="E149" s="620">
        <f t="shared" si="15"/>
        <v>2.4900000000000002</v>
      </c>
      <c r="F149" s="675">
        <f>(E149*'III. Datos Entrada-BE'!E84*'III. Datos Entrada-BE'!$E$192*C149*0.8)+G149</f>
        <v>0</v>
      </c>
      <c r="G149" s="670">
        <f>IF('III. Datos Entrada-BE'!$E$165=B148,0,IF('III. Datos Entrada-BE'!$F$165=B148,0,IF('III. Datos Entrada-BE'!$G$165=B148,0,IF('III. Datos Entrada-BE'!$C$165="Sí",0,(F148-H148)))))</f>
        <v>0</v>
      </c>
      <c r="H149" s="668">
        <f t="shared" si="17"/>
        <v>0</v>
      </c>
      <c r="I149" s="668">
        <f>IF('III. Datos Entrada-BE'!D37=0,0,H149*'III. Datos Entrada-BE'!$C$122*0.717*0.001)*('III. Datos Entrada-BE'!G37/'III. Datos Entrada-BE'!E37)</f>
        <v>0</v>
      </c>
      <c r="J149" s="700">
        <f t="shared" si="16"/>
        <v>0</v>
      </c>
    </row>
    <row r="150" spans="1:94" ht="13" thickBot="1" x14ac:dyDescent="0.3">
      <c r="B150" s="529" t="str">
        <f>'III. Datos Entrada-BE'!$B$38</f>
        <v>julio</v>
      </c>
      <c r="C150" s="667">
        <f>'III. Datos Entrada-BE'!$E$38</f>
        <v>31</v>
      </c>
      <c r="D150" s="675">
        <f>MIN(0.95, MAX(0.104,EXP(15175*(('III. Datos Entrada-BE'!C38+273)-303.16)/(1.987*('III. Datos Entrada-BE'!C38+273)*303.16))))</f>
        <v>0.104</v>
      </c>
      <c r="E150" s="620">
        <f t="shared" si="15"/>
        <v>2.4900000000000002</v>
      </c>
      <c r="F150" s="675">
        <f>(E150*'III. Datos Entrada-BE'!E85*'III. Datos Entrada-BE'!$E$192*C150*0.8)+G150</f>
        <v>0</v>
      </c>
      <c r="G150" s="670">
        <f>IF('III. Datos Entrada-BE'!$E$165=B149,0,IF('III. Datos Entrada-BE'!$F$165=B149,0,IF('III. Datos Entrada-BE'!$G$165=B149,0,IF('III. Datos Entrada-BE'!$C$165="Sí",0,(F149-H149)))))</f>
        <v>0</v>
      </c>
      <c r="H150" s="668">
        <f t="shared" si="17"/>
        <v>0</v>
      </c>
      <c r="I150" s="668">
        <f>IF('III. Datos Entrada-BE'!D38=0,0,H150*'III. Datos Entrada-BE'!$C$122*0.717*0.001)*('III. Datos Entrada-BE'!G38/'III. Datos Entrada-BE'!E38)</f>
        <v>0</v>
      </c>
      <c r="J150" s="700">
        <f t="shared" si="16"/>
        <v>0</v>
      </c>
    </row>
    <row r="151" spans="1:94" ht="13" thickBot="1" x14ac:dyDescent="0.3">
      <c r="B151" s="529" t="str">
        <f>'III. Datos Entrada-BE'!$B$39</f>
        <v>agosto</v>
      </c>
      <c r="C151" s="667">
        <f>'III. Datos Entrada-BE'!$E$39</f>
        <v>31</v>
      </c>
      <c r="D151" s="675">
        <f>MIN(0.95, MAX(0.104,EXP(15175*(('III. Datos Entrada-BE'!C39+273)-303.16)/(1.987*('III. Datos Entrada-BE'!C39+273)*303.16))))</f>
        <v>0.104</v>
      </c>
      <c r="E151" s="620">
        <f t="shared" si="15"/>
        <v>2.4900000000000002</v>
      </c>
      <c r="F151" s="675">
        <f>(E151*'III. Datos Entrada-BE'!E86*'III. Datos Entrada-BE'!$E$192*C151*0.8)+G151</f>
        <v>0</v>
      </c>
      <c r="G151" s="670">
        <f>IF('III. Datos Entrada-BE'!$E$165=B150,0,IF('III. Datos Entrada-BE'!$F$165=B150,0,IF('III. Datos Entrada-BE'!$G$165=B150,0,IF('III. Datos Entrada-BE'!$C$165="Sí",0,(F150-H150)))))</f>
        <v>0</v>
      </c>
      <c r="H151" s="668">
        <f t="shared" si="17"/>
        <v>0</v>
      </c>
      <c r="I151" s="668">
        <f>IF('III. Datos Entrada-BE'!D39=0,0,H151*'III. Datos Entrada-BE'!$C$122*0.717*0.001)*('III. Datos Entrada-BE'!G39/'III. Datos Entrada-BE'!E39)</f>
        <v>0</v>
      </c>
      <c r="J151" s="700">
        <f t="shared" si="16"/>
        <v>0</v>
      </c>
    </row>
    <row r="152" spans="1:94" ht="13" thickBot="1" x14ac:dyDescent="0.3">
      <c r="B152" s="529" t="str">
        <f>'III. Datos Entrada-BE'!$B$40</f>
        <v>septiembre</v>
      </c>
      <c r="C152" s="667">
        <f>'III. Datos Entrada-BE'!$E$40</f>
        <v>30</v>
      </c>
      <c r="D152" s="675">
        <f>MIN(0.95, MAX(0.104,EXP(15175*(('III. Datos Entrada-BE'!C40+273)-303.16)/(1.987*('III. Datos Entrada-BE'!C40+273)*303.16))))</f>
        <v>0.104</v>
      </c>
      <c r="E152" s="620">
        <f t="shared" si="15"/>
        <v>2.4900000000000002</v>
      </c>
      <c r="F152" s="675">
        <f>(E152*'III. Datos Entrada-BE'!E87*'III. Datos Entrada-BE'!$E$192*C152*0.8)+G152</f>
        <v>0</v>
      </c>
      <c r="G152" s="670">
        <f>IF('III. Datos Entrada-BE'!$E$165=B151,0,IF('III. Datos Entrada-BE'!$F$165=B151,0,IF('III. Datos Entrada-BE'!$G$165=B151,0,IF('III. Datos Entrada-BE'!$C$165="Sí",0,(F151-H151)))))</f>
        <v>0</v>
      </c>
      <c r="H152" s="668">
        <f t="shared" si="17"/>
        <v>0</v>
      </c>
      <c r="I152" s="668">
        <f>IF('III. Datos Entrada-BE'!D40=0,0,H152*'III. Datos Entrada-BE'!$C$122*0.717*0.001)*('III. Datos Entrada-BE'!G40/'III. Datos Entrada-BE'!E40)</f>
        <v>0</v>
      </c>
      <c r="J152" s="700">
        <f t="shared" si="16"/>
        <v>0</v>
      </c>
    </row>
    <row r="153" spans="1:94" ht="13" thickBot="1" x14ac:dyDescent="0.3">
      <c r="B153" s="529" t="str">
        <f>'III. Datos Entrada-BE'!$B$41</f>
        <v>octubre</v>
      </c>
      <c r="C153" s="667">
        <f>'III. Datos Entrada-BE'!$E$41</f>
        <v>31</v>
      </c>
      <c r="D153" s="675">
        <f>MIN(0.95, MAX(0.104,EXP(15175*(('III. Datos Entrada-BE'!C41+273)-303.16)/(1.987*('III. Datos Entrada-BE'!C41+273)*303.16))))</f>
        <v>0.104</v>
      </c>
      <c r="E153" s="620">
        <f t="shared" si="15"/>
        <v>2.4900000000000002</v>
      </c>
      <c r="F153" s="675">
        <f>(E153*'III. Datos Entrada-BE'!E88*'III. Datos Entrada-BE'!$E$192*C153*0.8)+G153</f>
        <v>0</v>
      </c>
      <c r="G153" s="670">
        <f>IF('III. Datos Entrada-BE'!$E$165=B152,0,IF('III. Datos Entrada-BE'!$F$165=B152,0,IF('III. Datos Entrada-BE'!$G$165=B152,0,IF('III. Datos Entrada-BE'!$C$165="Sí",0,(F152-H152)))))</f>
        <v>0</v>
      </c>
      <c r="H153" s="668">
        <f t="shared" si="17"/>
        <v>0</v>
      </c>
      <c r="I153" s="668">
        <f>IF('III. Datos Entrada-BE'!D41=0,0,H153*'III. Datos Entrada-BE'!$C$122*0.717*0.001)*('III. Datos Entrada-BE'!G41/'III. Datos Entrada-BE'!E41)</f>
        <v>0</v>
      </c>
      <c r="J153" s="700">
        <f t="shared" si="16"/>
        <v>0</v>
      </c>
    </row>
    <row r="154" spans="1:94" ht="13" thickBot="1" x14ac:dyDescent="0.3">
      <c r="B154" s="529" t="str">
        <f>'III. Datos Entrada-BE'!$B$42</f>
        <v>noviembre</v>
      </c>
      <c r="C154" s="667">
        <f>'III. Datos Entrada-BE'!$E$42</f>
        <v>30</v>
      </c>
      <c r="D154" s="675">
        <f>MIN(0.95, MAX(0.104,EXP(15175*(('III. Datos Entrada-BE'!C42+273)-303.16)/(1.987*('III. Datos Entrada-BE'!C42+273)*303.16))))</f>
        <v>0.104</v>
      </c>
      <c r="E154" s="620">
        <f t="shared" si="15"/>
        <v>2.4900000000000002</v>
      </c>
      <c r="F154" s="675">
        <f>(E154*'III. Datos Entrada-BE'!E89*'III. Datos Entrada-BE'!$E$192*C154*0.8)+G154</f>
        <v>0</v>
      </c>
      <c r="G154" s="670">
        <f>IF('III. Datos Entrada-BE'!$E$165=B153,0,IF('III. Datos Entrada-BE'!$F$165=B153,0,IF('III. Datos Entrada-BE'!$G$165=B153,0,IF('III. Datos Entrada-BE'!$C$165="Sí",0,(F153-H153)))))</f>
        <v>0</v>
      </c>
      <c r="H154" s="668">
        <f t="shared" si="17"/>
        <v>0</v>
      </c>
      <c r="I154" s="668">
        <f>IF('III. Datos Entrada-BE'!D42=0,0,H154*'III. Datos Entrada-BE'!$C$122*0.717*0.001)*('III. Datos Entrada-BE'!G42/'III. Datos Entrada-BE'!E42)</f>
        <v>0</v>
      </c>
      <c r="J154" s="700">
        <f t="shared" si="16"/>
        <v>0</v>
      </c>
    </row>
    <row r="155" spans="1:94" ht="13" thickBot="1" x14ac:dyDescent="0.3">
      <c r="B155" s="553" t="str">
        <f>'III. Datos Entrada-BE'!$B$43</f>
        <v>diciembre</v>
      </c>
      <c r="C155" s="671">
        <f>'III. Datos Entrada-BE'!$E$43</f>
        <v>31</v>
      </c>
      <c r="D155" s="677">
        <f>MIN(0.95, MAX(0.104,EXP(15175*(('III. Datos Entrada-BE'!C43+273)-303.16)/(1.987*('III. Datos Entrada-BE'!C43+273)*303.16))))</f>
        <v>0.104</v>
      </c>
      <c r="E155" s="678">
        <f t="shared" si="15"/>
        <v>2.4900000000000002</v>
      </c>
      <c r="F155" s="677">
        <f>(E155*'III. Datos Entrada-BE'!E90*'III. Datos Entrada-BE'!$E$192*C155*0.8)+G155</f>
        <v>0</v>
      </c>
      <c r="G155" s="670">
        <f>IF('III. Datos Entrada-BE'!$E$165=B154,0,IF('III. Datos Entrada-BE'!$F$165=B154,0,IF('III. Datos Entrada-BE'!$G$165=B154,0,IF('III. Datos Entrada-BE'!$C$165="Sí",0,(F154-H154)))))</f>
        <v>0</v>
      </c>
      <c r="H155" s="575">
        <f t="shared" si="17"/>
        <v>0</v>
      </c>
      <c r="I155" s="575">
        <f>IF('III. Datos Entrada-BE'!D43=0,0,H155*'III. Datos Entrada-BE'!$C$122*0.717*0.001)*('III. Datos Entrada-BE'!G43/'III. Datos Entrada-BE'!E43)</f>
        <v>0</v>
      </c>
      <c r="J155" s="700">
        <f t="shared" si="16"/>
        <v>0</v>
      </c>
    </row>
    <row r="156" spans="1:94" s="9" customFormat="1" ht="13.5" thickBot="1" x14ac:dyDescent="0.35">
      <c r="B156" s="27" t="s">
        <v>167</v>
      </c>
      <c r="C156" s="504"/>
      <c r="D156" s="505"/>
      <c r="E156" s="505"/>
      <c r="F156" s="506"/>
      <c r="G156" s="507"/>
      <c r="H156" s="906">
        <f>SUM(H144:H155)</f>
        <v>0</v>
      </c>
      <c r="I156" s="376">
        <f>SUM(I144:I155)</f>
        <v>0</v>
      </c>
      <c r="J156" s="54">
        <f>SUM(J144:J155)</f>
        <v>0</v>
      </c>
      <c r="K156" s="38"/>
      <c r="L156" s="38"/>
      <c r="M156" s="39"/>
    </row>
    <row r="157" spans="1:94" s="9" customFormat="1" ht="13.5" thickBot="1" x14ac:dyDescent="0.35">
      <c r="C157" s="70"/>
      <c r="D157" s="12"/>
      <c r="E157" s="12"/>
      <c r="F157" s="8"/>
      <c r="G157" s="8"/>
      <c r="H157" s="12"/>
      <c r="I157" s="12"/>
      <c r="J157" s="8"/>
      <c r="K157" s="38"/>
      <c r="L157" s="38"/>
      <c r="M157" s="39"/>
    </row>
    <row r="158" spans="1:94" s="68" customFormat="1" ht="31" customHeight="1" thickBot="1" x14ac:dyDescent="0.35">
      <c r="A158" s="9"/>
      <c r="B158" s="1232" t="s">
        <v>928</v>
      </c>
      <c r="C158" s="1233"/>
      <c r="D158" s="1233"/>
      <c r="E158" s="1233"/>
      <c r="F158" s="1234"/>
      <c r="G158" s="456">
        <f>IF('III. Datos Entrada-BE'!C$165="Sí",0,IF('III. Datos Entrada-BE'!E$165=B155,0,IF('III. Datos Entrada-BE'!F$165='V. BE CH4-AS'!B155,0,IF('III. Datos Entrada-BE'!G$165='V. BE CH4-AS'!B155,0,F155-H155))))</f>
        <v>0</v>
      </c>
      <c r="H158" s="12"/>
      <c r="I158" s="12"/>
      <c r="J158" s="8"/>
      <c r="K158" s="38"/>
      <c r="L158" s="38"/>
      <c r="M158" s="3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row>
    <row r="159" spans="1:94" s="9" customFormat="1" ht="128" thickBot="1" x14ac:dyDescent="0.35">
      <c r="B159" s="2"/>
      <c r="C159" s="20"/>
      <c r="D159" s="3"/>
      <c r="E159" s="3"/>
      <c r="F159" s="3"/>
      <c r="G159" s="46" t="s">
        <v>927</v>
      </c>
      <c r="H159" s="12"/>
      <c r="I159" s="12"/>
      <c r="J159" s="8"/>
      <c r="K159" s="38"/>
      <c r="L159" s="38"/>
      <c r="M159" s="39"/>
    </row>
    <row r="161" spans="1:94" ht="13.5" thickBot="1" x14ac:dyDescent="0.35">
      <c r="B161" s="22"/>
      <c r="C161" s="26"/>
      <c r="H161" s="12"/>
      <c r="I161" s="12"/>
      <c r="J161" s="12"/>
      <c r="K161" s="22"/>
      <c r="L161" s="22"/>
      <c r="M161" s="22"/>
      <c r="O161" s="22"/>
      <c r="P161" s="20"/>
      <c r="Q161" s="20"/>
      <c r="R161" s="20"/>
    </row>
    <row r="162" spans="1:94" s="49" customFormat="1" ht="13" x14ac:dyDescent="0.3">
      <c r="A162" s="2"/>
      <c r="B162" s="9"/>
      <c r="C162" s="26"/>
      <c r="D162" s="3"/>
      <c r="E162" s="1083" t="s">
        <v>924</v>
      </c>
      <c r="F162" s="1109"/>
      <c r="G162" s="1109"/>
      <c r="H162" s="1109"/>
      <c r="I162" s="1109"/>
      <c r="J162" s="1110"/>
      <c r="K162" s="22"/>
      <c r="L162" s="22"/>
      <c r="M162" s="22"/>
      <c r="N162" s="2"/>
      <c r="O162" s="22"/>
      <c r="P162" s="20"/>
      <c r="Q162" s="20"/>
      <c r="R162" s="20"/>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row>
    <row r="163" spans="1:94" s="49" customFormat="1" ht="13.5" thickBot="1" x14ac:dyDescent="0.35">
      <c r="A163" s="2"/>
      <c r="B163" s="22"/>
      <c r="C163" s="70"/>
      <c r="D163" s="3"/>
      <c r="E163" s="1107"/>
      <c r="F163" s="1111"/>
      <c r="G163" s="1111"/>
      <c r="H163" s="1111"/>
      <c r="I163" s="1111"/>
      <c r="J163" s="1112"/>
      <c r="K163" s="22"/>
      <c r="L163" s="22"/>
      <c r="M163" s="22"/>
      <c r="N163" s="2"/>
      <c r="O163" s="22"/>
      <c r="P163" s="20"/>
      <c r="Q163" s="20"/>
      <c r="R163" s="20"/>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row>
    <row r="164" spans="1:94" ht="26.5" thickBot="1" x14ac:dyDescent="0.35">
      <c r="B164" s="23" t="str">
        <f>'III. Datos Entrada-BE'!C56</f>
        <v>Toros (pastoreo) 
Bulls (grazing)</v>
      </c>
      <c r="C164" s="24">
        <f>'III. Datos Entrada-BE'!B136</f>
        <v>0</v>
      </c>
      <c r="D164" s="25"/>
      <c r="E164" s="1113"/>
      <c r="F164" s="1114"/>
      <c r="G164" s="1114"/>
      <c r="H164" s="1114"/>
      <c r="I164" s="1114"/>
      <c r="J164" s="1115"/>
      <c r="K164" s="20"/>
      <c r="L164" s="20"/>
      <c r="M164" s="20"/>
    </row>
    <row r="165" spans="1:94" ht="15" x14ac:dyDescent="0.4">
      <c r="B165" s="574" t="s">
        <v>158</v>
      </c>
      <c r="C165" s="666">
        <f>'III. Datos Entrada-BE'!D107</f>
        <v>3.87</v>
      </c>
      <c r="E165" s="8"/>
      <c r="F165" s="12"/>
      <c r="G165" s="12"/>
      <c r="H165" s="12"/>
      <c r="I165" s="12"/>
      <c r="J165" s="12"/>
      <c r="K165" s="45"/>
      <c r="L165" s="45"/>
    </row>
    <row r="166" spans="1:94" ht="13.5" thickBot="1" x14ac:dyDescent="0.35">
      <c r="B166" s="69"/>
      <c r="C166" s="420"/>
      <c r="E166" s="8"/>
      <c r="F166" s="12"/>
      <c r="G166" s="12"/>
      <c r="H166" s="12"/>
      <c r="I166" s="12"/>
      <c r="J166" s="12"/>
    </row>
    <row r="167" spans="1:94" ht="27.5" thickBot="1" x14ac:dyDescent="0.45">
      <c r="B167" s="905" t="s">
        <v>442</v>
      </c>
      <c r="C167" s="269" t="s">
        <v>922</v>
      </c>
      <c r="D167" s="59" t="s">
        <v>159</v>
      </c>
      <c r="E167" s="60" t="s">
        <v>160</v>
      </c>
      <c r="F167" s="61" t="s">
        <v>161</v>
      </c>
      <c r="G167" s="60" t="s">
        <v>162</v>
      </c>
      <c r="H167" s="61" t="s">
        <v>163</v>
      </c>
      <c r="I167" s="62" t="s">
        <v>164</v>
      </c>
      <c r="J167" s="63" t="s">
        <v>165</v>
      </c>
    </row>
    <row r="168" spans="1:94" ht="13" thickBot="1" x14ac:dyDescent="0.3">
      <c r="B168" s="29" t="str">
        <f>'III. Datos Entrada-BE'!$B$32</f>
        <v>enero</v>
      </c>
      <c r="C168" s="416">
        <f>'III. Datos Entrada-BE'!$E$32</f>
        <v>31</v>
      </c>
      <c r="D168" s="50">
        <f>MIN(0.95, MAX(0.104,EXP(15175*(('III. Datos Entrada-BE'!C32+273)-303.16)/(1.987*('III. Datos Entrada-BE'!C32+273)*303.16))))</f>
        <v>0.104</v>
      </c>
      <c r="E168" s="51">
        <f t="shared" ref="E168:E179" si="18">$C$165</f>
        <v>3.87</v>
      </c>
      <c r="F168" s="50">
        <f>(E168*'III. Datos Entrada-BE'!F79*'III. Datos Entrada-BE'!$F$191*C168*0.8)+G168</f>
        <v>0</v>
      </c>
      <c r="G168" s="32"/>
      <c r="H168" s="31">
        <f>F168*D168</f>
        <v>0</v>
      </c>
      <c r="I168" s="31">
        <f>IF('III. Datos Entrada-BE'!D32=0,0,H168*'III. Datos Entrada-BE'!$C$123*0.717*0.001)*('III. Datos Entrada-BE'!G32/'III. Datos Entrada-BE'!E32)</f>
        <v>0</v>
      </c>
      <c r="J168" s="700">
        <f t="shared" ref="J168:J179" si="19">I168*PCG</f>
        <v>0</v>
      </c>
    </row>
    <row r="169" spans="1:94" ht="13" thickBot="1" x14ac:dyDescent="0.3">
      <c r="B169" s="529" t="str">
        <f>'III. Datos Entrada-BE'!$B$33</f>
        <v>febrero</v>
      </c>
      <c r="C169" s="667">
        <f>'III. Datos Entrada-BE'!$E$33</f>
        <v>28</v>
      </c>
      <c r="D169" s="675">
        <f>MIN(0.95, MAX(0.104,EXP(15175*(('III. Datos Entrada-BE'!C33+273)-303.16)/(1.987*('III. Datos Entrada-BE'!C33+273)*303.16))))</f>
        <v>0.104</v>
      </c>
      <c r="E169" s="620">
        <f t="shared" si="18"/>
        <v>3.87</v>
      </c>
      <c r="F169" s="675">
        <f>(E169*'III. Datos Entrada-BE'!F80*'III. Datos Entrada-BE'!$F$191*C169*0.8)+G169</f>
        <v>0</v>
      </c>
      <c r="G169" s="670">
        <f>IF('III. Datos Entrada-BE'!$E$164=B168,0,IF('III. Datos Entrada-BE'!$F$164=B168,0,IF('III. Datos Entrada-BE'!$G$164=B168,0,IF('III. Datos Entrada-BE'!$C$164="Sí",0,(F168-H168)))))</f>
        <v>0</v>
      </c>
      <c r="H169" s="668">
        <f t="shared" ref="H169:H179" si="20">F169*D169</f>
        <v>0</v>
      </c>
      <c r="I169" s="668">
        <f>IF('III. Datos Entrada-BE'!D33=0,0,H169*'III. Datos Entrada-BE'!$C$123*0.717*0.001)*('III. Datos Entrada-BE'!G33/'III. Datos Entrada-BE'!E33)</f>
        <v>0</v>
      </c>
      <c r="J169" s="700">
        <f t="shared" si="19"/>
        <v>0</v>
      </c>
    </row>
    <row r="170" spans="1:94" ht="13" thickBot="1" x14ac:dyDescent="0.3">
      <c r="B170" s="529" t="str">
        <f>'III. Datos Entrada-BE'!$B$34</f>
        <v>marzo</v>
      </c>
      <c r="C170" s="667">
        <f>'III. Datos Entrada-BE'!$E$34</f>
        <v>31</v>
      </c>
      <c r="D170" s="675">
        <f>MIN(0.95, MAX(0.104,EXP(15175*(('III. Datos Entrada-BE'!C34+273)-303.16)/(1.987*('III. Datos Entrada-BE'!C34+273)*303.16))))</f>
        <v>0.104</v>
      </c>
      <c r="E170" s="620">
        <f t="shared" si="18"/>
        <v>3.87</v>
      </c>
      <c r="F170" s="675">
        <f>(E170*'III. Datos Entrada-BE'!F81*'III. Datos Entrada-BE'!$F$191*C170*0.8)+G170</f>
        <v>0</v>
      </c>
      <c r="G170" s="670">
        <f>IF('III. Datos Entrada-BE'!$E$164=B169,0,IF('III. Datos Entrada-BE'!$F$164=B169,0,IF('III. Datos Entrada-BE'!$G$164=B169,0,IF('III. Datos Entrada-BE'!$C$164="Sí",0,(F169-H169)))))</f>
        <v>0</v>
      </c>
      <c r="H170" s="668">
        <f t="shared" si="20"/>
        <v>0</v>
      </c>
      <c r="I170" s="668">
        <f>IF('III. Datos Entrada-BE'!D34=0,0,H170*'III. Datos Entrada-BE'!$C$123*0.717*0.001)*('III. Datos Entrada-BE'!G34/'III. Datos Entrada-BE'!E34)</f>
        <v>0</v>
      </c>
      <c r="J170" s="700">
        <f t="shared" si="19"/>
        <v>0</v>
      </c>
    </row>
    <row r="171" spans="1:94" ht="13" thickBot="1" x14ac:dyDescent="0.3">
      <c r="B171" s="529" t="str">
        <f>'III. Datos Entrada-BE'!$B$35</f>
        <v>abril</v>
      </c>
      <c r="C171" s="667">
        <f>'III. Datos Entrada-BE'!$E$35</f>
        <v>30</v>
      </c>
      <c r="D171" s="675">
        <f>MIN(0.95, MAX(0.104,EXP(15175*(('III. Datos Entrada-BE'!C35+273)-303.16)/(1.987*('III. Datos Entrada-BE'!C35+273)*303.16))))</f>
        <v>0.104</v>
      </c>
      <c r="E171" s="620">
        <f t="shared" si="18"/>
        <v>3.87</v>
      </c>
      <c r="F171" s="675">
        <f>(E171*'III. Datos Entrada-BE'!F82*'III. Datos Entrada-BE'!$F$191*C171*0.8)+G171</f>
        <v>0</v>
      </c>
      <c r="G171" s="670">
        <f>IF('III. Datos Entrada-BE'!$E$164=B170,0,IF('III. Datos Entrada-BE'!$F$164=B170,0,IF('III. Datos Entrada-BE'!$G$164=B170,0,IF('III. Datos Entrada-BE'!$C$164="Sí",0,(F170-H170)))))</f>
        <v>0</v>
      </c>
      <c r="H171" s="668">
        <f t="shared" si="20"/>
        <v>0</v>
      </c>
      <c r="I171" s="668">
        <f>IF('III. Datos Entrada-BE'!D35=0,0,H171*'III. Datos Entrada-BE'!$C$123*0.717*0.001)*('III. Datos Entrada-BE'!G35/'III. Datos Entrada-BE'!E35)</f>
        <v>0</v>
      </c>
      <c r="J171" s="700">
        <f t="shared" si="19"/>
        <v>0</v>
      </c>
    </row>
    <row r="172" spans="1:94" ht="13" thickBot="1" x14ac:dyDescent="0.3">
      <c r="B172" s="529" t="str">
        <f>'III. Datos Entrada-BE'!$B$36</f>
        <v>mayo</v>
      </c>
      <c r="C172" s="667">
        <f>'III. Datos Entrada-BE'!$E$36</f>
        <v>31</v>
      </c>
      <c r="D172" s="675">
        <f>MIN(0.95, MAX(0.104,EXP(15175*(('III. Datos Entrada-BE'!C36+273)-303.16)/(1.987*('III. Datos Entrada-BE'!C36+273)*303.16))))</f>
        <v>0.104</v>
      </c>
      <c r="E172" s="620">
        <f t="shared" si="18"/>
        <v>3.87</v>
      </c>
      <c r="F172" s="675">
        <f>(E172*'III. Datos Entrada-BE'!F83*'III. Datos Entrada-BE'!$F$191*C172*0.8)+G172</f>
        <v>0</v>
      </c>
      <c r="G172" s="670">
        <f>IF('III. Datos Entrada-BE'!$E$164=B171,0,IF('III. Datos Entrada-BE'!$F$164=B171,0,IF('III. Datos Entrada-BE'!$G$164=B171,0,IF('III. Datos Entrada-BE'!$C$164="Sí",0,(F171-H171)))))</f>
        <v>0</v>
      </c>
      <c r="H172" s="668">
        <f t="shared" si="20"/>
        <v>0</v>
      </c>
      <c r="I172" s="668">
        <f>IF('III. Datos Entrada-BE'!D36=0,0,H172*'III. Datos Entrada-BE'!$C$123*0.717*0.001)*('III. Datos Entrada-BE'!G36/'III. Datos Entrada-BE'!E36)</f>
        <v>0</v>
      </c>
      <c r="J172" s="700">
        <f t="shared" si="19"/>
        <v>0</v>
      </c>
    </row>
    <row r="173" spans="1:94" s="9" customFormat="1" ht="13.5" thickBot="1" x14ac:dyDescent="0.35">
      <c r="B173" s="529" t="str">
        <f>'III. Datos Entrada-BE'!$B$37</f>
        <v>junio</v>
      </c>
      <c r="C173" s="667">
        <f>'III. Datos Entrada-BE'!$E$37</f>
        <v>30</v>
      </c>
      <c r="D173" s="675">
        <f>MIN(0.95, MAX(0.104,EXP(15175*(('III. Datos Entrada-BE'!C37+273)-303.16)/(1.987*('III. Datos Entrada-BE'!C37+273)*303.16))))</f>
        <v>0.104</v>
      </c>
      <c r="E173" s="620">
        <f t="shared" si="18"/>
        <v>3.87</v>
      </c>
      <c r="F173" s="675">
        <f>(E173*'III. Datos Entrada-BE'!F84*'III. Datos Entrada-BE'!$F$191*C173*0.8)+G173</f>
        <v>0</v>
      </c>
      <c r="G173" s="670">
        <f>IF('III. Datos Entrada-BE'!$E$164=B172,0,IF('III. Datos Entrada-BE'!$F$164=B172,0,IF('III. Datos Entrada-BE'!$G$164=B172,0,IF('III. Datos Entrada-BE'!$C$164="Sí",0,(F172-H172)))))</f>
        <v>0</v>
      </c>
      <c r="H173" s="668">
        <f t="shared" si="20"/>
        <v>0</v>
      </c>
      <c r="I173" s="668">
        <f>IF('III. Datos Entrada-BE'!D37=0,0,H173*'III. Datos Entrada-BE'!$C$123*0.717*0.001)*('III. Datos Entrada-BE'!G37/'III. Datos Entrada-BE'!E37)</f>
        <v>0</v>
      </c>
      <c r="J173" s="700">
        <f t="shared" si="19"/>
        <v>0</v>
      </c>
      <c r="K173" s="38"/>
      <c r="L173" s="38"/>
      <c r="M173" s="39"/>
      <c r="N173" s="39"/>
      <c r="O173" s="22"/>
      <c r="Q173" s="38"/>
    </row>
    <row r="174" spans="1:94" ht="13" thickBot="1" x14ac:dyDescent="0.3">
      <c r="B174" s="529" t="str">
        <f>'III. Datos Entrada-BE'!$B$38</f>
        <v>julio</v>
      </c>
      <c r="C174" s="667">
        <f>'III. Datos Entrada-BE'!$E$38</f>
        <v>31</v>
      </c>
      <c r="D174" s="675">
        <f>MIN(0.95, MAX(0.104,EXP(15175*(('III. Datos Entrada-BE'!C38+273)-303.16)/(1.987*('III. Datos Entrada-BE'!C38+273)*303.16))))</f>
        <v>0.104</v>
      </c>
      <c r="E174" s="620">
        <f t="shared" si="18"/>
        <v>3.87</v>
      </c>
      <c r="F174" s="675">
        <f>(E174*'III. Datos Entrada-BE'!F85*'III. Datos Entrada-BE'!$F$191*C174*0.8)+G174</f>
        <v>0</v>
      </c>
      <c r="G174" s="670">
        <f>IF('III. Datos Entrada-BE'!$E$164=B173,0,IF('III. Datos Entrada-BE'!$F$164=B173,0,IF('III. Datos Entrada-BE'!$G$164=B173,0,IF('III. Datos Entrada-BE'!$C$164="Sí",0,(F173-H173)))))</f>
        <v>0</v>
      </c>
      <c r="H174" s="668">
        <f t="shared" si="20"/>
        <v>0</v>
      </c>
      <c r="I174" s="668">
        <f>IF('III. Datos Entrada-BE'!D38=0,0,H174*'III. Datos Entrada-BE'!$C$123*0.717*0.001)*('III. Datos Entrada-BE'!G38/'III. Datos Entrada-BE'!E38)</f>
        <v>0</v>
      </c>
      <c r="J174" s="700">
        <f t="shared" si="19"/>
        <v>0</v>
      </c>
      <c r="K174" s="45"/>
      <c r="L174" s="45"/>
      <c r="M174" s="45"/>
      <c r="N174" s="44"/>
      <c r="O174" s="45"/>
      <c r="P174" s="44"/>
      <c r="Q174" s="44"/>
    </row>
    <row r="175" spans="1:94" ht="13.5" thickBot="1" x14ac:dyDescent="0.35">
      <c r="B175" s="529" t="str">
        <f>'III. Datos Entrada-BE'!$B$39</f>
        <v>agosto</v>
      </c>
      <c r="C175" s="667">
        <f>'III. Datos Entrada-BE'!$E$39</f>
        <v>31</v>
      </c>
      <c r="D175" s="675">
        <f>MIN(0.95, MAX(0.104,EXP(15175*(('III. Datos Entrada-BE'!C39+273)-303.16)/(1.987*('III. Datos Entrada-BE'!C39+273)*303.16))))</f>
        <v>0.104</v>
      </c>
      <c r="E175" s="620">
        <f t="shared" si="18"/>
        <v>3.87</v>
      </c>
      <c r="F175" s="675">
        <f>(E175*'III. Datos Entrada-BE'!F86*'III. Datos Entrada-BE'!$F$191*C175*0.8)+G175</f>
        <v>0</v>
      </c>
      <c r="G175" s="670">
        <f>IF('III. Datos Entrada-BE'!$E$164=B174,0,IF('III. Datos Entrada-BE'!$F$164=B174,0,IF('III. Datos Entrada-BE'!$G$164=B174,0,IF('III. Datos Entrada-BE'!$C$164="Sí",0,(F174-H174)))))</f>
        <v>0</v>
      </c>
      <c r="H175" s="668">
        <f t="shared" si="20"/>
        <v>0</v>
      </c>
      <c r="I175" s="668">
        <f>IF('III. Datos Entrada-BE'!D39=0,0,H175*'III. Datos Entrada-BE'!$C$123*0.717*0.001)*('III. Datos Entrada-BE'!G39/'III. Datos Entrada-BE'!E39)</f>
        <v>0</v>
      </c>
      <c r="J175" s="700">
        <f t="shared" si="19"/>
        <v>0</v>
      </c>
      <c r="K175" s="22"/>
      <c r="L175" s="22"/>
      <c r="M175" s="22"/>
      <c r="O175" s="10"/>
    </row>
    <row r="176" spans="1:94" ht="13.5" thickBot="1" x14ac:dyDescent="0.35">
      <c r="B176" s="529" t="str">
        <f>'III. Datos Entrada-BE'!$B$40</f>
        <v>septiembre</v>
      </c>
      <c r="C176" s="667">
        <f>'III. Datos Entrada-BE'!$E$40</f>
        <v>30</v>
      </c>
      <c r="D176" s="675">
        <f>MIN(0.95, MAX(0.104,EXP(15175*(('III. Datos Entrada-BE'!C40+273)-303.16)/(1.987*('III. Datos Entrada-BE'!C40+273)*303.16))))</f>
        <v>0.104</v>
      </c>
      <c r="E176" s="620">
        <f t="shared" si="18"/>
        <v>3.87</v>
      </c>
      <c r="F176" s="675">
        <f>(E176*'III. Datos Entrada-BE'!F87*'III. Datos Entrada-BE'!$F$191*C176*0.8)+G176</f>
        <v>0</v>
      </c>
      <c r="G176" s="670">
        <f>IF('III. Datos Entrada-BE'!$E$164=B175,0,IF('III. Datos Entrada-BE'!$F$164=B175,0,IF('III. Datos Entrada-BE'!$G$164=B175,0,IF('III. Datos Entrada-BE'!$C$164="Sí",0,(F175-H175)))))</f>
        <v>0</v>
      </c>
      <c r="H176" s="668">
        <f t="shared" si="20"/>
        <v>0</v>
      </c>
      <c r="I176" s="668">
        <f>IF('III. Datos Entrada-BE'!D40=0,0,H176*'III. Datos Entrada-BE'!$C$123*0.717*0.001)*('III. Datos Entrada-BE'!G40/'III. Datos Entrada-BE'!E40)</f>
        <v>0</v>
      </c>
      <c r="J176" s="700">
        <f t="shared" si="19"/>
        <v>0</v>
      </c>
      <c r="K176" s="22"/>
      <c r="L176" s="22"/>
      <c r="M176" s="22"/>
      <c r="O176" s="10"/>
    </row>
    <row r="177" spans="2:18" ht="13.5" thickBot="1" x14ac:dyDescent="0.35">
      <c r="B177" s="529" t="str">
        <f>'III. Datos Entrada-BE'!$B$41</f>
        <v>octubre</v>
      </c>
      <c r="C177" s="667">
        <f>'III. Datos Entrada-BE'!$E$41</f>
        <v>31</v>
      </c>
      <c r="D177" s="675">
        <f>MIN(0.95, MAX(0.104,EXP(15175*(('III. Datos Entrada-BE'!C41+273)-303.16)/(1.987*('III. Datos Entrada-BE'!C41+273)*303.16))))</f>
        <v>0.104</v>
      </c>
      <c r="E177" s="620">
        <f t="shared" si="18"/>
        <v>3.87</v>
      </c>
      <c r="F177" s="675">
        <f>(E177*'III. Datos Entrada-BE'!F88*'III. Datos Entrada-BE'!$F$191*C177*0.8)+G177</f>
        <v>0</v>
      </c>
      <c r="G177" s="670">
        <f>IF('III. Datos Entrada-BE'!$E$164=B176,0,IF('III. Datos Entrada-BE'!$F$164=B176,0,IF('III. Datos Entrada-BE'!$G$164=B176,0,IF('III. Datos Entrada-BE'!$C$164="Sí",0,(F176-H176)))))</f>
        <v>0</v>
      </c>
      <c r="H177" s="668">
        <f t="shared" si="20"/>
        <v>0</v>
      </c>
      <c r="I177" s="668">
        <f>IF('III. Datos Entrada-BE'!D41=0,0,H177*'III. Datos Entrada-BE'!$C$123*0.717*0.001)*('III. Datos Entrada-BE'!G41/'III. Datos Entrada-BE'!E41)</f>
        <v>0</v>
      </c>
      <c r="J177" s="700">
        <f t="shared" si="19"/>
        <v>0</v>
      </c>
      <c r="K177" s="22"/>
      <c r="L177" s="22"/>
      <c r="M177" s="22"/>
      <c r="O177" s="10"/>
    </row>
    <row r="178" spans="2:18" ht="13" thickBot="1" x14ac:dyDescent="0.3">
      <c r="B178" s="529" t="str">
        <f>'III. Datos Entrada-BE'!$B$42</f>
        <v>noviembre</v>
      </c>
      <c r="C178" s="667">
        <f>'III. Datos Entrada-BE'!$E$42</f>
        <v>30</v>
      </c>
      <c r="D178" s="675">
        <f>MIN(0.95, MAX(0.104,EXP(15175*(('III. Datos Entrada-BE'!C42+273)-303.16)/(1.987*('III. Datos Entrada-BE'!C42+273)*303.16))))</f>
        <v>0.104</v>
      </c>
      <c r="E178" s="620">
        <f t="shared" si="18"/>
        <v>3.87</v>
      </c>
      <c r="F178" s="675">
        <f>(E178*'III. Datos Entrada-BE'!F89*'III. Datos Entrada-BE'!$F$191*C178*0.8)+G178</f>
        <v>0</v>
      </c>
      <c r="G178" s="670">
        <f>IF('III. Datos Entrada-BE'!$E$164=B177,0,IF('III. Datos Entrada-BE'!$F$164=B177,0,IF('III. Datos Entrada-BE'!$G$164=B177,0,IF('III. Datos Entrada-BE'!$C$164="Sí",0,(F177-H177)))))</f>
        <v>0</v>
      </c>
      <c r="H178" s="668">
        <f t="shared" si="20"/>
        <v>0</v>
      </c>
      <c r="I178" s="668">
        <f>IF('III. Datos Entrada-BE'!D42=0,0,H178*'III. Datos Entrada-BE'!$C$123*0.717*0.001)*('III. Datos Entrada-BE'!G42/'III. Datos Entrada-BE'!E42)</f>
        <v>0</v>
      </c>
      <c r="J178" s="700">
        <f t="shared" si="19"/>
        <v>0</v>
      </c>
      <c r="K178" s="20"/>
      <c r="L178" s="20"/>
      <c r="M178" s="20"/>
    </row>
    <row r="179" spans="2:18" ht="13" thickBot="1" x14ac:dyDescent="0.3">
      <c r="B179" s="553" t="str">
        <f>'III. Datos Entrada-BE'!$B$43</f>
        <v>diciembre</v>
      </c>
      <c r="C179" s="671">
        <f>'III. Datos Entrada-BE'!$E$43</f>
        <v>31</v>
      </c>
      <c r="D179" s="677">
        <f>MIN(0.95, MAX(0.104,EXP(15175*(('III. Datos Entrada-BE'!C43+273)-303.16)/(1.987*('III. Datos Entrada-BE'!C43+273)*303.16))))</f>
        <v>0.104</v>
      </c>
      <c r="E179" s="678">
        <f t="shared" si="18"/>
        <v>3.87</v>
      </c>
      <c r="F179" s="677">
        <f>(E179*'III. Datos Entrada-BE'!F90*'III. Datos Entrada-BE'!$F$191*C179*0.8)+G179</f>
        <v>0</v>
      </c>
      <c r="G179" s="670">
        <f>IF('III. Datos Entrada-BE'!$E$164=B178,0,IF('III. Datos Entrada-BE'!$F$164=B178,0,IF('III. Datos Entrada-BE'!$G$164=B178,0,IF('III. Datos Entrada-BE'!$C$164="Sí",0,(F178-H178)))))</f>
        <v>0</v>
      </c>
      <c r="H179" s="575">
        <f t="shared" si="20"/>
        <v>0</v>
      </c>
      <c r="I179" s="575">
        <f>IF('III. Datos Entrada-BE'!D43=0,0,H179*'III. Datos Entrada-BE'!$C$123*0.717*0.001)*('III. Datos Entrada-BE'!G43/'III. Datos Entrada-BE'!E43)</f>
        <v>0</v>
      </c>
      <c r="J179" s="700">
        <f t="shared" si="19"/>
        <v>0</v>
      </c>
      <c r="K179" s="45"/>
      <c r="L179" s="45"/>
      <c r="O179" s="10"/>
      <c r="P179" s="18"/>
    </row>
    <row r="180" spans="2:18" ht="13.5" thickBot="1" x14ac:dyDescent="0.35">
      <c r="B180" s="27" t="s">
        <v>166</v>
      </c>
      <c r="C180" s="504"/>
      <c r="D180" s="505"/>
      <c r="E180" s="505"/>
      <c r="F180" s="506"/>
      <c r="G180" s="507"/>
      <c r="H180" s="906">
        <f>SUM(H168:H179)</f>
        <v>0</v>
      </c>
      <c r="I180" s="376">
        <f>SUM(I168:I179)</f>
        <v>0</v>
      </c>
      <c r="J180" s="54">
        <f>SUM(J168:J179)</f>
        <v>0</v>
      </c>
      <c r="N180" s="9"/>
      <c r="O180" s="10"/>
    </row>
    <row r="181" spans="2:18" ht="13.5" thickBot="1" x14ac:dyDescent="0.35">
      <c r="B181" s="9"/>
      <c r="C181" s="70"/>
      <c r="D181" s="12"/>
      <c r="E181" s="12"/>
      <c r="F181" s="8"/>
      <c r="G181" s="8"/>
      <c r="H181" s="12"/>
      <c r="I181" s="12"/>
      <c r="J181" s="8"/>
      <c r="N181" s="9"/>
      <c r="O181" s="10"/>
    </row>
    <row r="182" spans="2:18" ht="28" customHeight="1" thickBot="1" x14ac:dyDescent="0.35">
      <c r="B182" s="1232" t="s">
        <v>928</v>
      </c>
      <c r="C182" s="1233"/>
      <c r="D182" s="1233"/>
      <c r="E182" s="1233"/>
      <c r="F182" s="1234"/>
      <c r="G182" s="456">
        <f>IF('III. Datos Entrada-BE'!C$164="Sí",0,IF('III. Datos Entrada-BE'!E$164=B179,0,IF('III. Datos Entrada-BE'!F$164='V. BE CH4-AS'!B179,0,IF('III. Datos Entrada-BE'!G$164='V. BE CH4-AS'!B179,0,F179-H179))))</f>
        <v>0</v>
      </c>
      <c r="H182" s="12"/>
      <c r="I182" s="12"/>
      <c r="J182" s="8"/>
      <c r="N182" s="9"/>
      <c r="O182" s="10"/>
    </row>
    <row r="183" spans="2:18" ht="128" thickBot="1" x14ac:dyDescent="0.35">
      <c r="G183" s="46" t="s">
        <v>927</v>
      </c>
      <c r="H183" s="12"/>
      <c r="I183" s="12"/>
      <c r="J183" s="8"/>
      <c r="N183" s="9"/>
      <c r="O183" s="10"/>
    </row>
    <row r="184" spans="2:18" ht="13" x14ac:dyDescent="0.3">
      <c r="B184" s="9"/>
      <c r="C184" s="53"/>
    </row>
    <row r="185" spans="2:18" ht="13.5" thickBot="1" x14ac:dyDescent="0.35">
      <c r="B185" s="9"/>
      <c r="C185" s="53"/>
    </row>
    <row r="186" spans="2:18" ht="13" x14ac:dyDescent="0.3">
      <c r="B186" s="9"/>
      <c r="C186" s="53"/>
      <c r="E186" s="1083" t="s">
        <v>924</v>
      </c>
      <c r="F186" s="1109"/>
      <c r="G186" s="1109"/>
      <c r="H186" s="1109"/>
      <c r="I186" s="1109"/>
      <c r="J186" s="1110"/>
    </row>
    <row r="187" spans="2:18" ht="13.5" thickBot="1" x14ac:dyDescent="0.35">
      <c r="B187" s="9"/>
      <c r="C187" s="53"/>
      <c r="E187" s="1107"/>
      <c r="F187" s="1111"/>
      <c r="G187" s="1111"/>
      <c r="H187" s="1111"/>
      <c r="I187" s="1111"/>
      <c r="J187" s="1112"/>
    </row>
    <row r="188" spans="2:18" ht="26.5" thickBot="1" x14ac:dyDescent="0.35">
      <c r="B188" s="23" t="str">
        <f>B164</f>
        <v>Toros (pastoreo) 
Bulls (grazing)</v>
      </c>
      <c r="C188" s="24">
        <f>'III. Datos Entrada-BE'!B137</f>
        <v>0</v>
      </c>
      <c r="D188" s="25"/>
      <c r="E188" s="1113"/>
      <c r="F188" s="1114"/>
      <c r="G188" s="1114"/>
      <c r="H188" s="1114"/>
      <c r="I188" s="1114"/>
      <c r="J188" s="1115"/>
    </row>
    <row r="189" spans="2:18" ht="15" x14ac:dyDescent="0.4">
      <c r="B189" s="574" t="s">
        <v>158</v>
      </c>
      <c r="C189" s="666">
        <f>C165</f>
        <v>3.87</v>
      </c>
      <c r="E189" s="8"/>
      <c r="F189" s="12"/>
      <c r="G189" s="12"/>
      <c r="H189" s="12"/>
      <c r="I189" s="12"/>
      <c r="J189" s="12"/>
    </row>
    <row r="190" spans="2:18" ht="13.5" thickBot="1" x14ac:dyDescent="0.35">
      <c r="B190" s="69"/>
      <c r="C190" s="420"/>
      <c r="E190" s="8"/>
      <c r="F190" s="12"/>
      <c r="G190" s="12"/>
      <c r="H190" s="12"/>
      <c r="I190" s="12"/>
      <c r="J190" s="12"/>
    </row>
    <row r="191" spans="2:18" ht="27.5" thickBot="1" x14ac:dyDescent="0.45">
      <c r="B191" s="905" t="s">
        <v>442</v>
      </c>
      <c r="C191" s="269" t="s">
        <v>922</v>
      </c>
      <c r="D191" s="59" t="s">
        <v>159</v>
      </c>
      <c r="E191" s="60" t="s">
        <v>160</v>
      </c>
      <c r="F191" s="61" t="s">
        <v>161</v>
      </c>
      <c r="G191" s="60" t="s">
        <v>162</v>
      </c>
      <c r="H191" s="61" t="s">
        <v>163</v>
      </c>
      <c r="I191" s="62" t="s">
        <v>164</v>
      </c>
      <c r="J191" s="63" t="s">
        <v>165</v>
      </c>
    </row>
    <row r="192" spans="2:18" ht="13.5" thickBot="1" x14ac:dyDescent="0.35">
      <c r="B192" s="29" t="str">
        <f>'III. Datos Entrada-BE'!$B$32</f>
        <v>enero</v>
      </c>
      <c r="C192" s="416">
        <f>'III. Datos Entrada-BE'!$E$32</f>
        <v>31</v>
      </c>
      <c r="D192" s="50">
        <f>MIN(0.95, MAX(0.104,EXP(15175*(('III. Datos Entrada-BE'!C32+273)-303.16)/(1.987*('III. Datos Entrada-BE'!C32+273)*303.16))))</f>
        <v>0.104</v>
      </c>
      <c r="E192" s="51">
        <f t="shared" ref="E192:E203" si="21">$C$189</f>
        <v>3.87</v>
      </c>
      <c r="F192" s="50">
        <f>(E192*'III. Datos Entrada-BE'!F79*'III. Datos Entrada-BE'!$F$192*C192*0.8)+G192</f>
        <v>0</v>
      </c>
      <c r="G192" s="32"/>
      <c r="H192" s="31">
        <f>F192*D192</f>
        <v>0</v>
      </c>
      <c r="I192" s="31">
        <f>IF('III. Datos Entrada-BE'!D32=0,0,H192*'III. Datos Entrada-BE'!$C$123*0.717*0.001)*('III. Datos Entrada-BE'!G32/'III. Datos Entrada-BE'!E32)</f>
        <v>0</v>
      </c>
      <c r="J192" s="700">
        <f t="shared" ref="J192:J203" si="22">I192*PCG</f>
        <v>0</v>
      </c>
      <c r="K192" s="22"/>
      <c r="L192" s="22"/>
      <c r="M192" s="22"/>
      <c r="O192" s="22"/>
      <c r="P192" s="20"/>
      <c r="Q192" s="20"/>
      <c r="R192" s="20"/>
    </row>
    <row r="193" spans="2:18" ht="13.5" thickBot="1" x14ac:dyDescent="0.35">
      <c r="B193" s="529" t="str">
        <f>'III. Datos Entrada-BE'!$B$33</f>
        <v>febrero</v>
      </c>
      <c r="C193" s="667">
        <f>'III. Datos Entrada-BE'!$E$33</f>
        <v>28</v>
      </c>
      <c r="D193" s="675">
        <f>MIN(0.95, MAX(0.104,EXP(15175*(('III. Datos Entrada-BE'!C33+273)-303.16)/(1.987*('III. Datos Entrada-BE'!C33+273)*303.16))))</f>
        <v>0.104</v>
      </c>
      <c r="E193" s="620">
        <f t="shared" si="21"/>
        <v>3.87</v>
      </c>
      <c r="F193" s="675">
        <f>(E193*'III. Datos Entrada-BE'!F80*'III. Datos Entrada-BE'!$F$192*C193*0.8)+G193</f>
        <v>0</v>
      </c>
      <c r="G193" s="670">
        <f>IF('III. Datos Entrada-BE'!$E$165=B192,0,IF('III. Datos Entrada-BE'!$F$165=B192,0,IF('III. Datos Entrada-BE'!$G$165=B192,0,IF('III. Datos Entrada-BE'!$C$165="Sí",0,(F192-H192)))))</f>
        <v>0</v>
      </c>
      <c r="H193" s="668">
        <f t="shared" ref="H193:H203" si="23">F193*D193</f>
        <v>0</v>
      </c>
      <c r="I193" s="668">
        <f>IF('III. Datos Entrada-BE'!D33=0,0,H193*'III. Datos Entrada-BE'!$C$123*0.717*0.001)*('III. Datos Entrada-BE'!G33/'III. Datos Entrada-BE'!E33)</f>
        <v>0</v>
      </c>
      <c r="J193" s="700">
        <f t="shared" si="22"/>
        <v>0</v>
      </c>
      <c r="K193" s="22"/>
      <c r="L193" s="22"/>
      <c r="M193" s="22"/>
      <c r="O193" s="22"/>
      <c r="P193" s="20"/>
      <c r="Q193" s="20"/>
      <c r="R193" s="20"/>
    </row>
    <row r="194" spans="2:18" ht="13.5" thickBot="1" x14ac:dyDescent="0.35">
      <c r="B194" s="529" t="str">
        <f>'III. Datos Entrada-BE'!$B$34</f>
        <v>marzo</v>
      </c>
      <c r="C194" s="667">
        <f>'III. Datos Entrada-BE'!$E$34</f>
        <v>31</v>
      </c>
      <c r="D194" s="675">
        <f>MIN(0.95, MAX(0.104,EXP(15175*(('III. Datos Entrada-BE'!C34+273)-303.16)/(1.987*('III. Datos Entrada-BE'!C34+273)*303.16))))</f>
        <v>0.104</v>
      </c>
      <c r="E194" s="620">
        <f t="shared" si="21"/>
        <v>3.87</v>
      </c>
      <c r="F194" s="675">
        <f>(E194*'III. Datos Entrada-BE'!F81*'III. Datos Entrada-BE'!$F$192*C194*0.8)+G194</f>
        <v>0</v>
      </c>
      <c r="G194" s="670">
        <f>IF('III. Datos Entrada-BE'!$E$165=B193,0,IF('III. Datos Entrada-BE'!$F$165=B193,0,IF('III. Datos Entrada-BE'!$G$165=B193,0,IF('III. Datos Entrada-BE'!$C$165="Sí",0,(F193-H193)))))</f>
        <v>0</v>
      </c>
      <c r="H194" s="668">
        <f t="shared" si="23"/>
        <v>0</v>
      </c>
      <c r="I194" s="668">
        <f>IF('III. Datos Entrada-BE'!D34=0,0,H194*'III. Datos Entrada-BE'!$C$123*0.717*0.001)*('III. Datos Entrada-BE'!G34/'III. Datos Entrada-BE'!E34)</f>
        <v>0</v>
      </c>
      <c r="J194" s="700">
        <f t="shared" si="22"/>
        <v>0</v>
      </c>
      <c r="K194" s="22"/>
      <c r="L194" s="22"/>
      <c r="M194" s="22"/>
      <c r="O194" s="22"/>
      <c r="P194" s="20"/>
      <c r="Q194" s="20"/>
      <c r="R194" s="20"/>
    </row>
    <row r="195" spans="2:18" ht="13" thickBot="1" x14ac:dyDescent="0.3">
      <c r="B195" s="529" t="str">
        <f>'III. Datos Entrada-BE'!$B$35</f>
        <v>abril</v>
      </c>
      <c r="C195" s="667">
        <f>'III. Datos Entrada-BE'!$E$35</f>
        <v>30</v>
      </c>
      <c r="D195" s="675">
        <f>MIN(0.95, MAX(0.104,EXP(15175*(('III. Datos Entrada-BE'!C35+273)-303.16)/(1.987*('III. Datos Entrada-BE'!C35+273)*303.16))))</f>
        <v>0.104</v>
      </c>
      <c r="E195" s="620">
        <f t="shared" si="21"/>
        <v>3.87</v>
      </c>
      <c r="F195" s="675">
        <f>(E195*'III. Datos Entrada-BE'!F82*'III. Datos Entrada-BE'!$F$192*C195*0.8)+G195</f>
        <v>0</v>
      </c>
      <c r="G195" s="670">
        <f>IF('III. Datos Entrada-BE'!$E$165=B194,0,IF('III. Datos Entrada-BE'!$F$165=B194,0,IF('III. Datos Entrada-BE'!$G$165=B194,0,IF('III. Datos Entrada-BE'!$C$165="Sí",0,(F194-H194)))))</f>
        <v>0</v>
      </c>
      <c r="H195" s="668">
        <f t="shared" si="23"/>
        <v>0</v>
      </c>
      <c r="I195" s="668">
        <f>IF('III. Datos Entrada-BE'!D35=0,0,H195*'III. Datos Entrada-BE'!$C$123*0.717*0.001)*('III. Datos Entrada-BE'!G35/'III. Datos Entrada-BE'!E35)</f>
        <v>0</v>
      </c>
      <c r="J195" s="700">
        <f t="shared" si="22"/>
        <v>0</v>
      </c>
      <c r="K195" s="20"/>
      <c r="L195" s="20"/>
      <c r="M195" s="20"/>
    </row>
    <row r="196" spans="2:18" ht="13" thickBot="1" x14ac:dyDescent="0.3">
      <c r="B196" s="529" t="str">
        <f>'III. Datos Entrada-BE'!$B$36</f>
        <v>mayo</v>
      </c>
      <c r="C196" s="667">
        <f>'III. Datos Entrada-BE'!$E$36</f>
        <v>31</v>
      </c>
      <c r="D196" s="675">
        <f>MIN(0.95, MAX(0.104,EXP(15175*(('III. Datos Entrada-BE'!C36+273)-303.16)/(1.987*('III. Datos Entrada-BE'!C36+273)*303.16))))</f>
        <v>0.104</v>
      </c>
      <c r="E196" s="620">
        <f t="shared" si="21"/>
        <v>3.87</v>
      </c>
      <c r="F196" s="675">
        <f>(E196*'III. Datos Entrada-BE'!F83*'III. Datos Entrada-BE'!$F$192*C196*0.8)+G196</f>
        <v>0</v>
      </c>
      <c r="G196" s="670">
        <f>IF('III. Datos Entrada-BE'!$E$165=B195,0,IF('III. Datos Entrada-BE'!$F$165=B195,0,IF('III. Datos Entrada-BE'!$G$165=B195,0,IF('III. Datos Entrada-BE'!$C$165="Sí",0,(F195-H195)))))</f>
        <v>0</v>
      </c>
      <c r="H196" s="668">
        <f t="shared" si="23"/>
        <v>0</v>
      </c>
      <c r="I196" s="668">
        <f>IF('III. Datos Entrada-BE'!D36=0,0,H196*'III. Datos Entrada-BE'!$C$123*0.717*0.001)*('III. Datos Entrada-BE'!G36/'III. Datos Entrada-BE'!E36)</f>
        <v>0</v>
      </c>
      <c r="J196" s="700">
        <f t="shared" si="22"/>
        <v>0</v>
      </c>
      <c r="K196" s="45"/>
      <c r="L196" s="45"/>
    </row>
    <row r="197" spans="2:18" ht="13" thickBot="1" x14ac:dyDescent="0.3">
      <c r="B197" s="529" t="str">
        <f>'III. Datos Entrada-BE'!$B$37</f>
        <v>junio</v>
      </c>
      <c r="C197" s="667">
        <f>'III. Datos Entrada-BE'!$E$37</f>
        <v>30</v>
      </c>
      <c r="D197" s="675">
        <f>MIN(0.95, MAX(0.104,EXP(15175*(('III. Datos Entrada-BE'!C37+273)-303.16)/(1.987*('III. Datos Entrada-BE'!C37+273)*303.16))))</f>
        <v>0.104</v>
      </c>
      <c r="E197" s="620">
        <f t="shared" si="21"/>
        <v>3.87</v>
      </c>
      <c r="F197" s="675">
        <f>(E197*'III. Datos Entrada-BE'!F84*'III. Datos Entrada-BE'!$F$192*C197*0.8)+G197</f>
        <v>0</v>
      </c>
      <c r="G197" s="670">
        <f>IF('III. Datos Entrada-BE'!$E$165=B196,0,IF('III. Datos Entrada-BE'!$F$165=B196,0,IF('III. Datos Entrada-BE'!$G$165=B196,0,IF('III. Datos Entrada-BE'!$C$165="Sí",0,(F196-H196)))))</f>
        <v>0</v>
      </c>
      <c r="H197" s="668">
        <f t="shared" si="23"/>
        <v>0</v>
      </c>
      <c r="I197" s="668">
        <f>IF('III. Datos Entrada-BE'!D37=0,0,H197*'III. Datos Entrada-BE'!$C$123*0.717*0.001)*('III. Datos Entrada-BE'!G37/'III. Datos Entrada-BE'!E37)</f>
        <v>0</v>
      </c>
      <c r="J197" s="700">
        <f t="shared" si="22"/>
        <v>0</v>
      </c>
    </row>
    <row r="198" spans="2:18" ht="13" thickBot="1" x14ac:dyDescent="0.3">
      <c r="B198" s="529" t="str">
        <f>'III. Datos Entrada-BE'!$B$38</f>
        <v>julio</v>
      </c>
      <c r="C198" s="667">
        <f>'III. Datos Entrada-BE'!$E$38</f>
        <v>31</v>
      </c>
      <c r="D198" s="675">
        <f>MIN(0.95, MAX(0.104,EXP(15175*(('III. Datos Entrada-BE'!C38+273)-303.16)/(1.987*('III. Datos Entrada-BE'!C38+273)*303.16))))</f>
        <v>0.104</v>
      </c>
      <c r="E198" s="620">
        <f t="shared" si="21"/>
        <v>3.87</v>
      </c>
      <c r="F198" s="675">
        <f>(E198*'III. Datos Entrada-BE'!F85*'III. Datos Entrada-BE'!$F$192*C198*0.8)+G198</f>
        <v>0</v>
      </c>
      <c r="G198" s="670">
        <f>IF('III. Datos Entrada-BE'!$E$165=B197,0,IF('III. Datos Entrada-BE'!$F$165=B197,0,IF('III. Datos Entrada-BE'!$G$165=B197,0,IF('III. Datos Entrada-BE'!$C$165="Sí",0,(F197-H197)))))</f>
        <v>0</v>
      </c>
      <c r="H198" s="668">
        <f t="shared" si="23"/>
        <v>0</v>
      </c>
      <c r="I198" s="668">
        <f>IF('III. Datos Entrada-BE'!D38=0,0,H198*'III. Datos Entrada-BE'!$C$123*0.717*0.001)*('III. Datos Entrada-BE'!G38/'III. Datos Entrada-BE'!E38)</f>
        <v>0</v>
      </c>
      <c r="J198" s="700">
        <f t="shared" si="22"/>
        <v>0</v>
      </c>
    </row>
    <row r="199" spans="2:18" ht="13" thickBot="1" x14ac:dyDescent="0.3">
      <c r="B199" s="529" t="str">
        <f>'III. Datos Entrada-BE'!$B$39</f>
        <v>agosto</v>
      </c>
      <c r="C199" s="667">
        <f>'III. Datos Entrada-BE'!$E$39</f>
        <v>31</v>
      </c>
      <c r="D199" s="675">
        <f>MIN(0.95, MAX(0.104,EXP(15175*(('III. Datos Entrada-BE'!C39+273)-303.16)/(1.987*('III. Datos Entrada-BE'!C39+273)*303.16))))</f>
        <v>0.104</v>
      </c>
      <c r="E199" s="620">
        <f t="shared" si="21"/>
        <v>3.87</v>
      </c>
      <c r="F199" s="675">
        <f>(E199*'III. Datos Entrada-BE'!F86*'III. Datos Entrada-BE'!$F$192*C199*0.8)+G199</f>
        <v>0</v>
      </c>
      <c r="G199" s="670">
        <f>IF('III. Datos Entrada-BE'!$E$165=B198,0,IF('III. Datos Entrada-BE'!$F$165=B198,0,IF('III. Datos Entrada-BE'!$G$165=B198,0,IF('III. Datos Entrada-BE'!$C$165="Sí",0,(F198-H198)))))</f>
        <v>0</v>
      </c>
      <c r="H199" s="668">
        <f t="shared" si="23"/>
        <v>0</v>
      </c>
      <c r="I199" s="668">
        <f>IF('III. Datos Entrada-BE'!D39=0,0,H199*'III. Datos Entrada-BE'!$C$123*0.717*0.001)*('III. Datos Entrada-BE'!G39/'III. Datos Entrada-BE'!E39)</f>
        <v>0</v>
      </c>
      <c r="J199" s="700">
        <f t="shared" si="22"/>
        <v>0</v>
      </c>
    </row>
    <row r="200" spans="2:18" ht="13" thickBot="1" x14ac:dyDescent="0.3">
      <c r="B200" s="529" t="str">
        <f>'III. Datos Entrada-BE'!$B$40</f>
        <v>septiembre</v>
      </c>
      <c r="C200" s="667">
        <f>'III. Datos Entrada-BE'!$E$40</f>
        <v>30</v>
      </c>
      <c r="D200" s="675">
        <f>MIN(0.95, MAX(0.104,EXP(15175*(('III. Datos Entrada-BE'!C40+273)-303.16)/(1.987*('III. Datos Entrada-BE'!C40+273)*303.16))))</f>
        <v>0.104</v>
      </c>
      <c r="E200" s="620">
        <f t="shared" si="21"/>
        <v>3.87</v>
      </c>
      <c r="F200" s="675">
        <f>(E200*'III. Datos Entrada-BE'!F87*'III. Datos Entrada-BE'!$F$192*C200*0.8)+G200</f>
        <v>0</v>
      </c>
      <c r="G200" s="670">
        <f>IF('III. Datos Entrada-BE'!$E$165=B199,0,IF('III. Datos Entrada-BE'!$F$165=B199,0,IF('III. Datos Entrada-BE'!$G$165=B199,0,IF('III. Datos Entrada-BE'!$C$165="Sí",0,(F199-H199)))))</f>
        <v>0</v>
      </c>
      <c r="H200" s="668">
        <f t="shared" si="23"/>
        <v>0</v>
      </c>
      <c r="I200" s="668">
        <f>IF('III. Datos Entrada-BE'!D40=0,0,H200*'III. Datos Entrada-BE'!$C$123*0.717*0.001)*('III. Datos Entrada-BE'!G40/'III. Datos Entrada-BE'!E40)</f>
        <v>0</v>
      </c>
      <c r="J200" s="700">
        <f t="shared" si="22"/>
        <v>0</v>
      </c>
    </row>
    <row r="201" spans="2:18" ht="13" thickBot="1" x14ac:dyDescent="0.3">
      <c r="B201" s="529" t="str">
        <f>'III. Datos Entrada-BE'!$B$41</f>
        <v>octubre</v>
      </c>
      <c r="C201" s="667">
        <f>'III. Datos Entrada-BE'!$E$41</f>
        <v>31</v>
      </c>
      <c r="D201" s="675">
        <f>MIN(0.95, MAX(0.104,EXP(15175*(('III. Datos Entrada-BE'!C41+273)-303.16)/(1.987*('III. Datos Entrada-BE'!C41+273)*303.16))))</f>
        <v>0.104</v>
      </c>
      <c r="E201" s="620">
        <f t="shared" si="21"/>
        <v>3.87</v>
      </c>
      <c r="F201" s="675">
        <f>(E201*'III. Datos Entrada-BE'!F88*'III. Datos Entrada-BE'!$F$192*C201*0.8)+G201</f>
        <v>0</v>
      </c>
      <c r="G201" s="670">
        <f>IF('III. Datos Entrada-BE'!$E$165=B200,0,IF('III. Datos Entrada-BE'!$F$165=B200,0,IF('III. Datos Entrada-BE'!$G$165=B200,0,IF('III. Datos Entrada-BE'!$C$165="Sí",0,(F200-H200)))))</f>
        <v>0</v>
      </c>
      <c r="H201" s="668">
        <f t="shared" si="23"/>
        <v>0</v>
      </c>
      <c r="I201" s="668">
        <f>IF('III. Datos Entrada-BE'!D41=0,0,H201*'III. Datos Entrada-BE'!$C$123*0.717*0.001)*('III. Datos Entrada-BE'!G41/'III. Datos Entrada-BE'!E41)</f>
        <v>0</v>
      </c>
      <c r="J201" s="700">
        <f t="shared" si="22"/>
        <v>0</v>
      </c>
    </row>
    <row r="202" spans="2:18" ht="13" thickBot="1" x14ac:dyDescent="0.3">
      <c r="B202" s="529" t="str">
        <f>'III. Datos Entrada-BE'!$B$42</f>
        <v>noviembre</v>
      </c>
      <c r="C202" s="667">
        <f>'III. Datos Entrada-BE'!$E$42</f>
        <v>30</v>
      </c>
      <c r="D202" s="675">
        <f>MIN(0.95, MAX(0.104,EXP(15175*(('III. Datos Entrada-BE'!C42+273)-303.16)/(1.987*('III. Datos Entrada-BE'!C42+273)*303.16))))</f>
        <v>0.104</v>
      </c>
      <c r="E202" s="620">
        <f t="shared" si="21"/>
        <v>3.87</v>
      </c>
      <c r="F202" s="675">
        <f>(E202*'III. Datos Entrada-BE'!F89*'III. Datos Entrada-BE'!$F$192*C202*0.8)+G202</f>
        <v>0</v>
      </c>
      <c r="G202" s="670">
        <f>IF('III. Datos Entrada-BE'!$E$165=B201,0,IF('III. Datos Entrada-BE'!$F$165=B201,0,IF('III. Datos Entrada-BE'!$G$165=B201,0,IF('III. Datos Entrada-BE'!$C$165="Sí",0,(F201-H201)))))</f>
        <v>0</v>
      </c>
      <c r="H202" s="668">
        <f t="shared" si="23"/>
        <v>0</v>
      </c>
      <c r="I202" s="668">
        <f>IF('III. Datos Entrada-BE'!D42=0,0,H202*'III. Datos Entrada-BE'!$C$123*0.717*0.001)*('III. Datos Entrada-BE'!G42/'III. Datos Entrada-BE'!E42)</f>
        <v>0</v>
      </c>
      <c r="J202" s="700">
        <f t="shared" si="22"/>
        <v>0</v>
      </c>
    </row>
    <row r="203" spans="2:18" ht="13" thickBot="1" x14ac:dyDescent="0.3">
      <c r="B203" s="553" t="str">
        <f>'III. Datos Entrada-BE'!$B$43</f>
        <v>diciembre</v>
      </c>
      <c r="C203" s="671">
        <f>'III. Datos Entrada-BE'!$E$43</f>
        <v>31</v>
      </c>
      <c r="D203" s="677">
        <f>MIN(0.95, MAX(0.104,EXP(15175*(('III. Datos Entrada-BE'!C43+273)-303.16)/(1.987*('III. Datos Entrada-BE'!C43+273)*303.16))))</f>
        <v>0.104</v>
      </c>
      <c r="E203" s="678">
        <f t="shared" si="21"/>
        <v>3.87</v>
      </c>
      <c r="F203" s="677">
        <f>(E203*'III. Datos Entrada-BE'!F90*'III. Datos Entrada-BE'!$F$192*C203*0.8)+G203</f>
        <v>0</v>
      </c>
      <c r="G203" s="670">
        <f>IF('III. Datos Entrada-BE'!$E$165=B202,0,IF('III. Datos Entrada-BE'!$F$165=B202,0,IF('III. Datos Entrada-BE'!$G$165=B202,0,IF('III. Datos Entrada-BE'!$C$165="Sí",0,(F202-H202)))))</f>
        <v>0</v>
      </c>
      <c r="H203" s="575">
        <f t="shared" si="23"/>
        <v>0</v>
      </c>
      <c r="I203" s="575">
        <f>IF('III. Datos Entrada-BE'!D43=0,0,H203*'III. Datos Entrada-BE'!$C$123*0.717*0.001)*('III. Datos Entrada-BE'!G43/'III. Datos Entrada-BE'!E43)</f>
        <v>0</v>
      </c>
      <c r="J203" s="700">
        <f t="shared" si="22"/>
        <v>0</v>
      </c>
    </row>
    <row r="204" spans="2:18" ht="13.5" thickBot="1" x14ac:dyDescent="0.35">
      <c r="B204" s="27" t="s">
        <v>166</v>
      </c>
      <c r="C204" s="504"/>
      <c r="D204" s="505"/>
      <c r="E204" s="505"/>
      <c r="F204" s="506"/>
      <c r="G204" s="507"/>
      <c r="H204" s="906">
        <f>SUM(H192:H203)</f>
        <v>0</v>
      </c>
      <c r="I204" s="376">
        <f>SUM(I192:I203)</f>
        <v>0</v>
      </c>
      <c r="J204" s="54">
        <f>SUM(J192:J203)</f>
        <v>0</v>
      </c>
    </row>
    <row r="205" spans="2:18" ht="13.5" thickBot="1" x14ac:dyDescent="0.35">
      <c r="B205" s="9"/>
      <c r="C205" s="70"/>
      <c r="D205" s="12"/>
      <c r="E205" s="12"/>
      <c r="F205" s="8"/>
      <c r="G205" s="8"/>
      <c r="H205" s="12"/>
      <c r="I205" s="12"/>
      <c r="J205" s="8"/>
    </row>
    <row r="206" spans="2:18" ht="30.5" customHeight="1" thickBot="1" x14ac:dyDescent="0.35">
      <c r="B206" s="1232" t="s">
        <v>928</v>
      </c>
      <c r="C206" s="1233"/>
      <c r="D206" s="1233"/>
      <c r="E206" s="1233"/>
      <c r="F206" s="1234"/>
      <c r="G206" s="456">
        <f>IF('III. Datos Entrada-BE'!C$165="Sí",0,IF('III. Datos Entrada-BE'!E$165=B203,0,IF('III. Datos Entrada-BE'!F$165='V. BE CH4-AS'!B203,0,IF('III. Datos Entrada-BE'!G$165='V. BE CH4-AS'!B203,0,F203-H203))))</f>
        <v>0</v>
      </c>
      <c r="H206" s="12"/>
      <c r="I206" s="12"/>
      <c r="J206" s="8"/>
    </row>
    <row r="207" spans="2:18" ht="128" thickBot="1" x14ac:dyDescent="0.35">
      <c r="G207" s="46" t="s">
        <v>927</v>
      </c>
      <c r="H207" s="12"/>
      <c r="I207" s="12"/>
      <c r="J207" s="8"/>
    </row>
    <row r="208" spans="2:18" ht="13" x14ac:dyDescent="0.3">
      <c r="B208" s="9"/>
      <c r="C208" s="53"/>
    </row>
    <row r="209" spans="2:17" ht="13.5" thickBot="1" x14ac:dyDescent="0.35">
      <c r="B209" s="9"/>
      <c r="C209" s="53"/>
    </row>
    <row r="210" spans="2:17" ht="13.5" thickBot="1" x14ac:dyDescent="0.35">
      <c r="B210" s="9"/>
      <c r="C210" s="53"/>
      <c r="E210" s="1083" t="s">
        <v>924</v>
      </c>
      <c r="F210" s="1109"/>
      <c r="G210" s="1109"/>
      <c r="H210" s="1109"/>
      <c r="I210" s="1109"/>
      <c r="J210" s="1110"/>
    </row>
    <row r="211" spans="2:17" s="9" customFormat="1" ht="52" x14ac:dyDescent="0.3">
      <c r="B211" s="23" t="str">
        <f>'III. Datos Entrada-BE'!C57</f>
        <v>Terneros (en forraje, en pastos/pastizales) 
Calves (on forage, in pasture/rangeland)</v>
      </c>
      <c r="C211" s="24">
        <f>'III. Datos Entrada-BE'!B136</f>
        <v>0</v>
      </c>
      <c r="D211" s="25"/>
      <c r="E211" s="1107"/>
      <c r="F211" s="1111"/>
      <c r="G211" s="1111"/>
      <c r="H211" s="1111"/>
      <c r="I211" s="1111"/>
      <c r="J211" s="1112"/>
      <c r="K211" s="38"/>
      <c r="L211" s="38"/>
      <c r="M211" s="39"/>
      <c r="N211" s="39"/>
      <c r="O211" s="22"/>
      <c r="Q211" s="38"/>
    </row>
    <row r="212" spans="2:17" ht="15.5" thickBot="1" x14ac:dyDescent="0.45">
      <c r="B212" s="574" t="s">
        <v>158</v>
      </c>
      <c r="C212" s="666">
        <f>'III. Datos Entrada-BE'!D108</f>
        <v>1.25</v>
      </c>
      <c r="E212" s="1113"/>
      <c r="F212" s="1114"/>
      <c r="G212" s="1114"/>
      <c r="H212" s="1114"/>
      <c r="I212" s="1114"/>
      <c r="J212" s="1115"/>
      <c r="K212" s="45"/>
      <c r="L212" s="45"/>
      <c r="M212" s="45"/>
      <c r="N212" s="44"/>
      <c r="O212" s="45"/>
      <c r="P212" s="44"/>
      <c r="Q212" s="44"/>
    </row>
    <row r="213" spans="2:17" ht="13.5" thickBot="1" x14ac:dyDescent="0.35">
      <c r="B213" s="69"/>
      <c r="C213" s="420"/>
      <c r="E213" s="8"/>
      <c r="F213" s="12"/>
      <c r="G213" s="12"/>
      <c r="H213" s="12"/>
      <c r="I213" s="12"/>
      <c r="J213" s="12"/>
      <c r="K213" s="22"/>
      <c r="L213" s="22"/>
      <c r="M213" s="22"/>
      <c r="O213" s="10"/>
    </row>
    <row r="214" spans="2:17" ht="27.5" thickBot="1" x14ac:dyDescent="0.45">
      <c r="B214" s="905" t="s">
        <v>442</v>
      </c>
      <c r="C214" s="269" t="s">
        <v>922</v>
      </c>
      <c r="D214" s="59" t="s">
        <v>159</v>
      </c>
      <c r="E214" s="60" t="s">
        <v>160</v>
      </c>
      <c r="F214" s="61" t="s">
        <v>161</v>
      </c>
      <c r="G214" s="60" t="s">
        <v>162</v>
      </c>
      <c r="H214" s="61" t="s">
        <v>163</v>
      </c>
      <c r="I214" s="62" t="s">
        <v>164</v>
      </c>
      <c r="J214" s="63" t="s">
        <v>165</v>
      </c>
    </row>
    <row r="215" spans="2:17" ht="13" thickBot="1" x14ac:dyDescent="0.3">
      <c r="B215" s="29" t="str">
        <f>'III. Datos Entrada-BE'!$B$32</f>
        <v>enero</v>
      </c>
      <c r="C215" s="421">
        <v>31</v>
      </c>
      <c r="D215" s="50">
        <f>MIN(0.95, MAX(0.104,EXP(15175*(('III. Datos Entrada-BE'!C32+273)-303.16)/(1.987*('III. Datos Entrada-BE'!C32+273)*303.16))))</f>
        <v>0.104</v>
      </c>
      <c r="E215" s="51">
        <f t="shared" ref="E215:E226" si="24">$C$212</f>
        <v>1.25</v>
      </c>
      <c r="F215" s="50">
        <f>(E215*'III. Datos Entrada-BE'!G79*'III. Datos Entrada-BE'!$G$191*C215*0.8)+G215</f>
        <v>0</v>
      </c>
      <c r="G215" s="32">
        <v>0</v>
      </c>
      <c r="H215" s="31">
        <f>F215*D215</f>
        <v>0</v>
      </c>
      <c r="I215" s="31">
        <f>IF('III. Datos Entrada-BE'!D32=0,0,H215*'III. Datos Entrada-BE'!$C$124*0.717*0.001)*('III. Datos Entrada-BE'!G32/'III. Datos Entrada-BE'!E32)</f>
        <v>0</v>
      </c>
      <c r="J215" s="700">
        <f t="shared" ref="J215:J226" si="25">I215*PCG</f>
        <v>0</v>
      </c>
    </row>
    <row r="216" spans="2:17" ht="13" thickBot="1" x14ac:dyDescent="0.3">
      <c r="B216" s="529" t="str">
        <f>'III. Datos Entrada-BE'!$B$33</f>
        <v>febrero</v>
      </c>
      <c r="C216" s="679">
        <v>28.25</v>
      </c>
      <c r="D216" s="675">
        <f>MIN(0.95, MAX(0.104,EXP(15175*(('III. Datos Entrada-BE'!C33+273)-303.16)/(1.987*('III. Datos Entrada-BE'!C33+273)*303.16))))</f>
        <v>0.104</v>
      </c>
      <c r="E216" s="620">
        <f t="shared" si="24"/>
        <v>1.25</v>
      </c>
      <c r="F216" s="675">
        <f>(E216*'III. Datos Entrada-BE'!G80*'III. Datos Entrada-BE'!$G$191*C216*0.8)+G216</f>
        <v>0</v>
      </c>
      <c r="G216" s="670">
        <f>IF('III. Datos Entrada-BE'!$E$164=B215,0,IF('III. Datos Entrada-BE'!$F$164=B215,0,IF('III. Datos Entrada-BE'!$G$164=B215,0,IF('III. Datos Entrada-BE'!$C$164="Sí",0,(F215-H215)))))</f>
        <v>0</v>
      </c>
      <c r="H216" s="668">
        <f t="shared" ref="H216:H226" si="26">F216*D216</f>
        <v>0</v>
      </c>
      <c r="I216" s="668">
        <f>IF('III. Datos Entrada-BE'!D33=0,0,H216*'III. Datos Entrada-BE'!$C$124*0.717*0.001)*('III. Datos Entrada-BE'!G33/'III. Datos Entrada-BE'!E33)</f>
        <v>0</v>
      </c>
      <c r="J216" s="700">
        <f t="shared" si="25"/>
        <v>0</v>
      </c>
    </row>
    <row r="217" spans="2:17" ht="13" thickBot="1" x14ac:dyDescent="0.3">
      <c r="B217" s="529" t="str">
        <f>'III. Datos Entrada-BE'!$B$34</f>
        <v>marzo</v>
      </c>
      <c r="C217" s="679">
        <v>31</v>
      </c>
      <c r="D217" s="675">
        <f>MIN(0.95, MAX(0.104,EXP(15175*(('III. Datos Entrada-BE'!C34+273)-303.16)/(1.987*('III. Datos Entrada-BE'!C34+273)*303.16))))</f>
        <v>0.104</v>
      </c>
      <c r="E217" s="620">
        <f t="shared" si="24"/>
        <v>1.25</v>
      </c>
      <c r="F217" s="675">
        <f>(E217*'III. Datos Entrada-BE'!G81*'III. Datos Entrada-BE'!$G$191*C217*0.8)+G217</f>
        <v>0</v>
      </c>
      <c r="G217" s="670">
        <f>IF('III. Datos Entrada-BE'!$E$164=B216,0,IF('III. Datos Entrada-BE'!$F$164=B216,0,IF('III. Datos Entrada-BE'!$G$164=B216,0,IF('III. Datos Entrada-BE'!$C$164="Sí",0,(F216-H216)))))</f>
        <v>0</v>
      </c>
      <c r="H217" s="668">
        <f t="shared" si="26"/>
        <v>0</v>
      </c>
      <c r="I217" s="668">
        <f>IF('III. Datos Entrada-BE'!D34=0,0,H217*'III. Datos Entrada-BE'!$C$124*0.717*0.001)*('III. Datos Entrada-BE'!G34/'III. Datos Entrada-BE'!E34)</f>
        <v>0</v>
      </c>
      <c r="J217" s="700">
        <f t="shared" si="25"/>
        <v>0</v>
      </c>
    </row>
    <row r="218" spans="2:17" ht="13" thickBot="1" x14ac:dyDescent="0.3">
      <c r="B218" s="529" t="str">
        <f>'III. Datos Entrada-BE'!$B$35</f>
        <v>abril</v>
      </c>
      <c r="C218" s="679">
        <v>30</v>
      </c>
      <c r="D218" s="675">
        <f>MIN(0.95, MAX(0.104,EXP(15175*(('III. Datos Entrada-BE'!C35+273)-303.16)/(1.987*('III. Datos Entrada-BE'!C35+273)*303.16))))</f>
        <v>0.104</v>
      </c>
      <c r="E218" s="620">
        <f t="shared" si="24"/>
        <v>1.25</v>
      </c>
      <c r="F218" s="675">
        <f>(E218*'III. Datos Entrada-BE'!G82*'III. Datos Entrada-BE'!$G$191*C218*0.8)+G218</f>
        <v>0</v>
      </c>
      <c r="G218" s="670">
        <f>IF('III. Datos Entrada-BE'!$E$164=B217,0,IF('III. Datos Entrada-BE'!$F$164=B217,0,IF('III. Datos Entrada-BE'!$G$164=B217,0,IF('III. Datos Entrada-BE'!$C$164="Sí",0,(F217-H217)))))</f>
        <v>0</v>
      </c>
      <c r="H218" s="668">
        <f t="shared" si="26"/>
        <v>0</v>
      </c>
      <c r="I218" s="668">
        <f>IF('III. Datos Entrada-BE'!D35=0,0,H218*'III. Datos Entrada-BE'!$C$124*0.717*0.001)*('III. Datos Entrada-BE'!G35/'III. Datos Entrada-BE'!E35)</f>
        <v>0</v>
      </c>
      <c r="J218" s="700">
        <f t="shared" si="25"/>
        <v>0</v>
      </c>
    </row>
    <row r="219" spans="2:17" ht="13" thickBot="1" x14ac:dyDescent="0.3">
      <c r="B219" s="529" t="str">
        <f>'III. Datos Entrada-BE'!$B$36</f>
        <v>mayo</v>
      </c>
      <c r="C219" s="679">
        <v>31</v>
      </c>
      <c r="D219" s="675">
        <f>MIN(0.95, MAX(0.104,EXP(15175*(('III. Datos Entrada-BE'!C36+273)-303.16)/(1.987*('III. Datos Entrada-BE'!C36+273)*303.16))))</f>
        <v>0.104</v>
      </c>
      <c r="E219" s="620">
        <f t="shared" si="24"/>
        <v>1.25</v>
      </c>
      <c r="F219" s="675">
        <f>(E219*'III. Datos Entrada-BE'!G83*'III. Datos Entrada-BE'!$G$191*C219*0.8)+G219</f>
        <v>0</v>
      </c>
      <c r="G219" s="670">
        <f>IF('III. Datos Entrada-BE'!$E$164=B218,0,IF('III. Datos Entrada-BE'!$F$164=B218,0,IF('III. Datos Entrada-BE'!$G$164=B218,0,IF('III. Datos Entrada-BE'!$C$164="Sí",0,(F218-H218)))))</f>
        <v>0</v>
      </c>
      <c r="H219" s="668">
        <f t="shared" si="26"/>
        <v>0</v>
      </c>
      <c r="I219" s="668">
        <f>IF('III. Datos Entrada-BE'!D36=0,0,H219*'III. Datos Entrada-BE'!$C$124*0.717*0.001)*('III. Datos Entrada-BE'!G36/'III. Datos Entrada-BE'!E36)</f>
        <v>0</v>
      </c>
      <c r="J219" s="700">
        <f t="shared" si="25"/>
        <v>0</v>
      </c>
    </row>
    <row r="220" spans="2:17" ht="13" thickBot="1" x14ac:dyDescent="0.3">
      <c r="B220" s="529" t="str">
        <f>'III. Datos Entrada-BE'!$B$37</f>
        <v>junio</v>
      </c>
      <c r="C220" s="679">
        <v>30</v>
      </c>
      <c r="D220" s="675">
        <f>MIN(0.95, MAX(0.104,EXP(15175*(('III. Datos Entrada-BE'!C37+273)-303.16)/(1.987*('III. Datos Entrada-BE'!C37+273)*303.16))))</f>
        <v>0.104</v>
      </c>
      <c r="E220" s="620">
        <f t="shared" si="24"/>
        <v>1.25</v>
      </c>
      <c r="F220" s="675">
        <f>(E220*'III. Datos Entrada-BE'!G84*'III. Datos Entrada-BE'!$G$191*C220*0.8)+G220</f>
        <v>0</v>
      </c>
      <c r="G220" s="670">
        <f>IF('III. Datos Entrada-BE'!$E$164=B219,0,IF('III. Datos Entrada-BE'!$F$164=B219,0,IF('III. Datos Entrada-BE'!$G$164=B219,0,IF('III. Datos Entrada-BE'!$C$164="Sí",0,(F219-H219)))))</f>
        <v>0</v>
      </c>
      <c r="H220" s="668">
        <f t="shared" si="26"/>
        <v>0</v>
      </c>
      <c r="I220" s="668">
        <f>IF('III. Datos Entrada-BE'!D37=0,0,H220*'III. Datos Entrada-BE'!$C$124*0.717*0.001)*('III. Datos Entrada-BE'!G37/'III. Datos Entrada-BE'!E37)</f>
        <v>0</v>
      </c>
      <c r="J220" s="700">
        <f t="shared" si="25"/>
        <v>0</v>
      </c>
    </row>
    <row r="221" spans="2:17" ht="13" thickBot="1" x14ac:dyDescent="0.3">
      <c r="B221" s="529" t="str">
        <f>'III. Datos Entrada-BE'!$B$38</f>
        <v>julio</v>
      </c>
      <c r="C221" s="679">
        <v>31</v>
      </c>
      <c r="D221" s="675">
        <f>MIN(0.95, MAX(0.104,EXP(15175*(('III. Datos Entrada-BE'!C38+273)-303.16)/(1.987*('III. Datos Entrada-BE'!C38+273)*303.16))))</f>
        <v>0.104</v>
      </c>
      <c r="E221" s="620">
        <f t="shared" si="24"/>
        <v>1.25</v>
      </c>
      <c r="F221" s="675">
        <f>(E221*'III. Datos Entrada-BE'!G85*'III. Datos Entrada-BE'!$G$191*C221*0.8)+G221</f>
        <v>0</v>
      </c>
      <c r="G221" s="670">
        <f>IF('III. Datos Entrada-BE'!$E$164=B220,0,IF('III. Datos Entrada-BE'!$F$164=B220,0,IF('III. Datos Entrada-BE'!$G$164=B220,0,IF('III. Datos Entrada-BE'!$C$164="Sí",0,(F220-H220)))))</f>
        <v>0</v>
      </c>
      <c r="H221" s="668">
        <f t="shared" si="26"/>
        <v>0</v>
      </c>
      <c r="I221" s="668">
        <f>IF('III. Datos Entrada-BE'!D38=0,0,H221*'III. Datos Entrada-BE'!$C$124*0.717*0.001)*('III. Datos Entrada-BE'!G38/'III. Datos Entrada-BE'!E38)</f>
        <v>0</v>
      </c>
      <c r="J221" s="700">
        <f t="shared" si="25"/>
        <v>0</v>
      </c>
    </row>
    <row r="222" spans="2:17" ht="13" thickBot="1" x14ac:dyDescent="0.3">
      <c r="B222" s="529" t="str">
        <f>'III. Datos Entrada-BE'!$B$39</f>
        <v>agosto</v>
      </c>
      <c r="C222" s="679">
        <v>31</v>
      </c>
      <c r="D222" s="675">
        <f>MIN(0.95, MAX(0.104,EXP(15175*(('III. Datos Entrada-BE'!C39+273)-303.16)/(1.987*('III. Datos Entrada-BE'!C39+273)*303.16))))</f>
        <v>0.104</v>
      </c>
      <c r="E222" s="620">
        <f t="shared" si="24"/>
        <v>1.25</v>
      </c>
      <c r="F222" s="675">
        <f>(E222*'III. Datos Entrada-BE'!G86*'III. Datos Entrada-BE'!$G$191*C222*0.8)+G222</f>
        <v>0</v>
      </c>
      <c r="G222" s="670">
        <f>IF('III. Datos Entrada-BE'!$E$164=B221,0,IF('III. Datos Entrada-BE'!$F$164=B221,0,IF('III. Datos Entrada-BE'!$G$164=B221,0,IF('III. Datos Entrada-BE'!$C$164="Sí",0,(F221-H221)))))</f>
        <v>0</v>
      </c>
      <c r="H222" s="668">
        <f t="shared" si="26"/>
        <v>0</v>
      </c>
      <c r="I222" s="668">
        <f>IF('III. Datos Entrada-BE'!D39=0,0,H222*'III. Datos Entrada-BE'!$C$124*0.717*0.001)*('III. Datos Entrada-BE'!G39/'III. Datos Entrada-BE'!E39)</f>
        <v>0</v>
      </c>
      <c r="J222" s="700">
        <f t="shared" si="25"/>
        <v>0</v>
      </c>
    </row>
    <row r="223" spans="2:17" ht="13" thickBot="1" x14ac:dyDescent="0.3">
      <c r="B223" s="529" t="str">
        <f>'III. Datos Entrada-BE'!$B$40</f>
        <v>septiembre</v>
      </c>
      <c r="C223" s="679">
        <v>30</v>
      </c>
      <c r="D223" s="675">
        <f>MIN(0.95, MAX(0.104,EXP(15175*(('III. Datos Entrada-BE'!C40+273)-303.16)/(1.987*('III. Datos Entrada-BE'!C40+273)*303.16))))</f>
        <v>0.104</v>
      </c>
      <c r="E223" s="620">
        <f t="shared" si="24"/>
        <v>1.25</v>
      </c>
      <c r="F223" s="675">
        <f>(E223*'III. Datos Entrada-BE'!G87*'III. Datos Entrada-BE'!$G$191*C223*0.8)+G223</f>
        <v>0</v>
      </c>
      <c r="G223" s="670">
        <f>IF('III. Datos Entrada-BE'!$E$164=B222,0,IF('III. Datos Entrada-BE'!$F$164=B222,0,IF('III. Datos Entrada-BE'!$G$164=B222,0,IF('III. Datos Entrada-BE'!$C$164="Sí",0,(F222-H222)))))</f>
        <v>0</v>
      </c>
      <c r="H223" s="668">
        <f t="shared" si="26"/>
        <v>0</v>
      </c>
      <c r="I223" s="668">
        <f>IF('III. Datos Entrada-BE'!D40=0,0,H223*'III. Datos Entrada-BE'!$C$124*0.717*0.001)*('III. Datos Entrada-BE'!G40/'III. Datos Entrada-BE'!E40)</f>
        <v>0</v>
      </c>
      <c r="J223" s="700">
        <f t="shared" si="25"/>
        <v>0</v>
      </c>
    </row>
    <row r="224" spans="2:17" ht="13" thickBot="1" x14ac:dyDescent="0.3">
      <c r="B224" s="529" t="str">
        <f>'III. Datos Entrada-BE'!$B$41</f>
        <v>octubre</v>
      </c>
      <c r="C224" s="679">
        <v>31</v>
      </c>
      <c r="D224" s="675">
        <f>MIN(0.95, MAX(0.104,EXP(15175*(('III. Datos Entrada-BE'!C41+273)-303.16)/(1.987*('III. Datos Entrada-BE'!C41+273)*303.16))))</f>
        <v>0.104</v>
      </c>
      <c r="E224" s="620">
        <f t="shared" si="24"/>
        <v>1.25</v>
      </c>
      <c r="F224" s="675">
        <f>(E224*'III. Datos Entrada-BE'!G88*'III. Datos Entrada-BE'!$G$191*C224*0.8)+G224</f>
        <v>0</v>
      </c>
      <c r="G224" s="670">
        <f>IF('III. Datos Entrada-BE'!$E$164=B223,0,IF('III. Datos Entrada-BE'!$F$164=B223,0,IF('III. Datos Entrada-BE'!$G$164=B223,0,IF('III. Datos Entrada-BE'!$C$164="Sí",0,(F223-H223)))))</f>
        <v>0</v>
      </c>
      <c r="H224" s="668">
        <f t="shared" si="26"/>
        <v>0</v>
      </c>
      <c r="I224" s="668">
        <f>IF('III. Datos Entrada-BE'!D41=0,0,H224*'III. Datos Entrada-BE'!$C$124*0.717*0.001)*('III. Datos Entrada-BE'!G41/'III. Datos Entrada-BE'!E41)</f>
        <v>0</v>
      </c>
      <c r="J224" s="700">
        <f t="shared" si="25"/>
        <v>0</v>
      </c>
    </row>
    <row r="225" spans="1:94" s="9" customFormat="1" ht="13.5" thickBot="1" x14ac:dyDescent="0.35">
      <c r="B225" s="529" t="str">
        <f>'III. Datos Entrada-BE'!$B$42</f>
        <v>noviembre</v>
      </c>
      <c r="C225" s="679">
        <v>30</v>
      </c>
      <c r="D225" s="675">
        <f>MIN(0.95, MAX(0.104,EXP(15175*(('III. Datos Entrada-BE'!C42+273)-303.16)/(1.987*('III. Datos Entrada-BE'!C42+273)*303.16))))</f>
        <v>0.104</v>
      </c>
      <c r="E225" s="620">
        <f t="shared" si="24"/>
        <v>1.25</v>
      </c>
      <c r="F225" s="675">
        <f>(E225*'III. Datos Entrada-BE'!G89*'III. Datos Entrada-BE'!$G$191*C225*0.8)+G225</f>
        <v>0</v>
      </c>
      <c r="G225" s="670">
        <f>IF('III. Datos Entrada-BE'!$E$164=B224,0,IF('III. Datos Entrada-BE'!$F$164=B224,0,IF('III. Datos Entrada-BE'!$G$164=B224,0,IF('III. Datos Entrada-BE'!$C$164="Sí",0,(F224-H224)))))</f>
        <v>0</v>
      </c>
      <c r="H225" s="668">
        <f t="shared" si="26"/>
        <v>0</v>
      </c>
      <c r="I225" s="668">
        <f>IF('III. Datos Entrada-BE'!D42=0,0,H225*'III. Datos Entrada-BE'!$C$124*0.717*0.001)*('III. Datos Entrada-BE'!G42/'III. Datos Entrada-BE'!E42)</f>
        <v>0</v>
      </c>
      <c r="J225" s="700">
        <f t="shared" si="25"/>
        <v>0</v>
      </c>
      <c r="K225" s="38"/>
      <c r="L225" s="38"/>
      <c r="M225" s="39"/>
    </row>
    <row r="226" spans="1:94" ht="13" thickBot="1" x14ac:dyDescent="0.3">
      <c r="B226" s="553" t="str">
        <f>'III. Datos Entrada-BE'!$B$43</f>
        <v>diciembre</v>
      </c>
      <c r="C226" s="680">
        <v>31</v>
      </c>
      <c r="D226" s="677">
        <f>MIN(0.95, MAX(0.104,EXP(15175*(('III. Datos Entrada-BE'!C43+273)-303.16)/(1.987*('III. Datos Entrada-BE'!C43+273)*303.16))))</f>
        <v>0.104</v>
      </c>
      <c r="E226" s="678">
        <f t="shared" si="24"/>
        <v>1.25</v>
      </c>
      <c r="F226" s="677">
        <f>(E226*'III. Datos Entrada-BE'!G90*'III. Datos Entrada-BE'!$G$191*C226*0.8)+G226</f>
        <v>0</v>
      </c>
      <c r="G226" s="670">
        <f>IF('III. Datos Entrada-BE'!$E$164=B225,0,IF('III. Datos Entrada-BE'!$F$164=B225,0,IF('III. Datos Entrada-BE'!$G$164=B225,0,IF('III. Datos Entrada-BE'!$C$164="Sí",0,(F225-H225)))))</f>
        <v>0</v>
      </c>
      <c r="H226" s="575">
        <f t="shared" si="26"/>
        <v>0</v>
      </c>
      <c r="I226" s="575">
        <f>IF('III. Datos Entrada-BE'!D43=0,0,H226*'III. Datos Entrada-BE'!$C$124*0.717*0.001)*('III. Datos Entrada-BE'!G43/'III. Datos Entrada-BE'!E43)</f>
        <v>0</v>
      </c>
      <c r="J226" s="700">
        <f t="shared" si="25"/>
        <v>0</v>
      </c>
    </row>
    <row r="227" spans="1:94" ht="13.5" thickBot="1" x14ac:dyDescent="0.35">
      <c r="B227" s="27" t="s">
        <v>166</v>
      </c>
      <c r="C227" s="504"/>
      <c r="D227" s="505"/>
      <c r="E227" s="505"/>
      <c r="F227" s="506"/>
      <c r="G227" s="507"/>
      <c r="H227" s="906">
        <f>SUM(H215:H226)</f>
        <v>0</v>
      </c>
      <c r="I227" s="376">
        <f>SUM(I215:I226)</f>
        <v>0</v>
      </c>
      <c r="J227" s="54">
        <f>SUM(J215:J226)</f>
        <v>0</v>
      </c>
      <c r="K227" s="22"/>
      <c r="L227" s="22"/>
      <c r="M227" s="22"/>
      <c r="O227" s="22"/>
      <c r="P227" s="20"/>
      <c r="Q227" s="20"/>
      <c r="R227" s="20"/>
    </row>
    <row r="228" spans="1:94" ht="13.5" thickBot="1" x14ac:dyDescent="0.35">
      <c r="B228" s="9"/>
      <c r="C228" s="70"/>
      <c r="D228" s="12"/>
      <c r="E228" s="12"/>
      <c r="F228" s="8"/>
      <c r="G228" s="8"/>
      <c r="H228" s="12"/>
      <c r="I228" s="12"/>
      <c r="J228" s="8"/>
      <c r="K228" s="22"/>
      <c r="L228" s="22"/>
      <c r="M228" s="22"/>
      <c r="O228" s="22"/>
      <c r="P228" s="20"/>
      <c r="Q228" s="20"/>
      <c r="R228" s="20"/>
    </row>
    <row r="229" spans="1:94" s="49" customFormat="1" ht="30" customHeight="1" thickBot="1" x14ac:dyDescent="0.35">
      <c r="A229" s="2"/>
      <c r="B229" s="1232" t="s">
        <v>928</v>
      </c>
      <c r="C229" s="1233"/>
      <c r="D229" s="1233"/>
      <c r="E229" s="1233"/>
      <c r="F229" s="1234"/>
      <c r="G229" s="456">
        <f>IF('III. Datos Entrada-BE'!C$164="Sí",0,IF('III. Datos Entrada-BE'!E$164=B226,0,IF('III. Datos Entrada-BE'!F$164='V. BE CH4-AS'!B226,0,IF('III. Datos Entrada-BE'!G$164='V. BE CH4-AS'!B226,0,F226-H226))))</f>
        <v>0</v>
      </c>
      <c r="H229" s="12"/>
      <c r="I229" s="12"/>
      <c r="J229" s="8"/>
      <c r="K229" s="22"/>
      <c r="L229" s="22"/>
      <c r="M229" s="22"/>
      <c r="N229" s="2"/>
      <c r="O229" s="22"/>
      <c r="P229" s="20"/>
      <c r="Q229" s="20"/>
      <c r="R229" s="20"/>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row>
    <row r="230" spans="1:94" ht="128" thickBot="1" x14ac:dyDescent="0.35">
      <c r="G230" s="46" t="s">
        <v>927</v>
      </c>
      <c r="H230" s="12"/>
      <c r="I230" s="12"/>
      <c r="J230" s="8"/>
      <c r="K230" s="22"/>
      <c r="L230" s="22"/>
      <c r="M230" s="22"/>
      <c r="O230" s="22"/>
      <c r="P230" s="20"/>
      <c r="Q230" s="20"/>
      <c r="R230" s="20"/>
    </row>
    <row r="231" spans="1:94" ht="13" x14ac:dyDescent="0.3">
      <c r="B231" s="9"/>
      <c r="C231" s="26"/>
      <c r="E231" s="8"/>
      <c r="F231" s="12"/>
      <c r="G231" s="12"/>
      <c r="H231" s="12"/>
      <c r="I231" s="12"/>
      <c r="J231" s="12"/>
      <c r="K231" s="22"/>
      <c r="L231" s="22"/>
      <c r="M231" s="22"/>
      <c r="O231" s="22"/>
      <c r="P231" s="20"/>
      <c r="Q231" s="20"/>
      <c r="R231" s="20"/>
    </row>
    <row r="232" spans="1:94" ht="13.5" thickBot="1" x14ac:dyDescent="0.35">
      <c r="B232" s="22"/>
      <c r="C232" s="70"/>
      <c r="E232" s="8"/>
      <c r="F232" s="12"/>
      <c r="G232" s="12"/>
      <c r="H232" s="12"/>
      <c r="I232" s="12"/>
      <c r="J232" s="12"/>
      <c r="K232" s="22"/>
      <c r="L232" s="22"/>
      <c r="M232" s="22"/>
      <c r="O232" s="22"/>
      <c r="P232" s="20"/>
      <c r="Q232" s="20"/>
      <c r="R232" s="20"/>
    </row>
    <row r="233" spans="1:94" ht="13" x14ac:dyDescent="0.3">
      <c r="B233" s="22"/>
      <c r="C233" s="26"/>
      <c r="D233" s="73"/>
      <c r="E233" s="1083" t="s">
        <v>924</v>
      </c>
      <c r="F233" s="1109"/>
      <c r="G233" s="1109"/>
      <c r="H233" s="1109"/>
      <c r="I233" s="1109"/>
      <c r="J233" s="1110"/>
      <c r="K233" s="20"/>
      <c r="L233" s="20"/>
      <c r="M233" s="20"/>
    </row>
    <row r="234" spans="1:94" ht="13" x14ac:dyDescent="0.3">
      <c r="B234" s="9"/>
      <c r="C234" s="53"/>
      <c r="E234" s="1107"/>
      <c r="F234" s="1111"/>
      <c r="G234" s="1111"/>
      <c r="H234" s="1111"/>
      <c r="I234" s="1111"/>
      <c r="J234" s="1112"/>
      <c r="K234" s="45"/>
      <c r="L234" s="45"/>
    </row>
    <row r="235" spans="1:94" ht="13.5" thickBot="1" x14ac:dyDescent="0.35">
      <c r="B235" s="9"/>
      <c r="C235" s="53"/>
      <c r="E235" s="1113"/>
      <c r="F235" s="1114"/>
      <c r="G235" s="1114"/>
      <c r="H235" s="1114"/>
      <c r="I235" s="1114"/>
      <c r="J235" s="1115"/>
    </row>
    <row r="236" spans="1:94" ht="52" x14ac:dyDescent="0.3">
      <c r="B236" s="23" t="str">
        <f>B211</f>
        <v>Terneros (en forraje, en pastos/pastizales) 
Calves (on forage, in pasture/rangeland)</v>
      </c>
      <c r="C236" s="24">
        <f>'III. Datos Entrada-BE'!B137</f>
        <v>0</v>
      </c>
      <c r="D236" s="25"/>
      <c r="E236" s="12"/>
      <c r="F236" s="12"/>
      <c r="G236" s="12"/>
      <c r="H236" s="12"/>
      <c r="I236" s="12"/>
      <c r="J236" s="12"/>
    </row>
    <row r="237" spans="1:94" ht="15" x14ac:dyDescent="0.4">
      <c r="B237" s="574" t="s">
        <v>158</v>
      </c>
      <c r="C237" s="666">
        <f>C212</f>
        <v>1.25</v>
      </c>
      <c r="E237" s="8"/>
      <c r="F237" s="12"/>
      <c r="G237" s="12"/>
      <c r="H237" s="12"/>
      <c r="I237" s="12"/>
      <c r="J237" s="12"/>
    </row>
    <row r="238" spans="1:94" ht="13.5" thickBot="1" x14ac:dyDescent="0.35">
      <c r="B238" s="69"/>
      <c r="C238" s="420"/>
      <c r="E238" s="8"/>
      <c r="F238" s="12"/>
      <c r="G238" s="12"/>
      <c r="H238" s="12"/>
      <c r="I238" s="12"/>
      <c r="J238" s="12"/>
    </row>
    <row r="239" spans="1:94" ht="27.5" thickBot="1" x14ac:dyDescent="0.45">
      <c r="B239" s="905" t="s">
        <v>442</v>
      </c>
      <c r="C239" s="269" t="s">
        <v>922</v>
      </c>
      <c r="D239" s="59" t="s">
        <v>159</v>
      </c>
      <c r="E239" s="60" t="s">
        <v>160</v>
      </c>
      <c r="F239" s="61" t="s">
        <v>161</v>
      </c>
      <c r="G239" s="60" t="s">
        <v>162</v>
      </c>
      <c r="H239" s="61" t="s">
        <v>163</v>
      </c>
      <c r="I239" s="62" t="s">
        <v>164</v>
      </c>
      <c r="J239" s="63" t="s">
        <v>165</v>
      </c>
    </row>
    <row r="240" spans="1:94" ht="13" thickBot="1" x14ac:dyDescent="0.3">
      <c r="B240" s="29" t="str">
        <f>'III. Datos Entrada-BE'!$B$32</f>
        <v>enero</v>
      </c>
      <c r="C240" s="416">
        <f>'III. Datos Entrada-BE'!$E$32</f>
        <v>31</v>
      </c>
      <c r="D240" s="50">
        <f>MIN(0.95, MAX(0.104,EXP(15175*(('III. Datos Entrada-BE'!C32+273)-303.16)/(1.987*('III. Datos Entrada-BE'!C32+273)*303.16))))</f>
        <v>0.104</v>
      </c>
      <c r="E240" s="51">
        <f t="shared" ref="E240:E251" si="27">$C$237</f>
        <v>1.25</v>
      </c>
      <c r="F240" s="50">
        <f>(E240*'III. Datos Entrada-BE'!G79*'III. Datos Entrada-BE'!$G$192*C240*0.8)+G240</f>
        <v>0</v>
      </c>
      <c r="G240" s="32"/>
      <c r="H240" s="31">
        <f>F240*D240</f>
        <v>0</v>
      </c>
      <c r="I240" s="31">
        <f>IF('III. Datos Entrada-BE'!D32=0,0,H240*'III. Datos Entrada-BE'!$C$124*0.717*0.001)*('III. Datos Entrada-BE'!G32/'III. Datos Entrada-BE'!E32)</f>
        <v>0</v>
      </c>
      <c r="J240" s="700">
        <f t="shared" ref="J240:J251" si="28">I240*PCG</f>
        <v>0</v>
      </c>
    </row>
    <row r="241" spans="1:94" ht="13" thickBot="1" x14ac:dyDescent="0.3">
      <c r="B241" s="529" t="str">
        <f>'III. Datos Entrada-BE'!$B$33</f>
        <v>febrero</v>
      </c>
      <c r="C241" s="667">
        <f>'III. Datos Entrada-BE'!$E$33</f>
        <v>28</v>
      </c>
      <c r="D241" s="675">
        <f>MIN(0.95, MAX(0.104,EXP(15175*(('III. Datos Entrada-BE'!C33+273)-303.16)/(1.987*('III. Datos Entrada-BE'!C33+273)*303.16))))</f>
        <v>0.104</v>
      </c>
      <c r="E241" s="620">
        <f t="shared" si="27"/>
        <v>1.25</v>
      </c>
      <c r="F241" s="675">
        <f>(E241*'III. Datos Entrada-BE'!G80*'III. Datos Entrada-BE'!$G$192*C241*0.8)+G241</f>
        <v>0</v>
      </c>
      <c r="G241" s="670">
        <f>IF('III. Datos Entrada-BE'!$E$165=B240,0,IF('III. Datos Entrada-BE'!$F$165=B240,0,IF('III. Datos Entrada-BE'!$G$165=B240,0,IF('III. Datos Entrada-BE'!$C$165="Sí",0,(F240-H240)))))</f>
        <v>0</v>
      </c>
      <c r="H241" s="668">
        <f t="shared" ref="H241:H251" si="29">F241*D241</f>
        <v>0</v>
      </c>
      <c r="I241" s="668">
        <f>IF('III. Datos Entrada-BE'!D33=0,0,H241*'III. Datos Entrada-BE'!$C$124*0.717*0.001)*('III. Datos Entrada-BE'!G33/'III. Datos Entrada-BE'!E33)</f>
        <v>0</v>
      </c>
      <c r="J241" s="700">
        <f t="shared" si="28"/>
        <v>0</v>
      </c>
    </row>
    <row r="242" spans="1:94" s="9" customFormat="1" ht="13.5" thickBot="1" x14ac:dyDescent="0.35">
      <c r="B242" s="529" t="str">
        <f>'III. Datos Entrada-BE'!$B$34</f>
        <v>marzo</v>
      </c>
      <c r="C242" s="667">
        <f>'III. Datos Entrada-BE'!$E$34</f>
        <v>31</v>
      </c>
      <c r="D242" s="675">
        <f>MIN(0.95, MAX(0.104,EXP(15175*(('III. Datos Entrada-BE'!C34+273)-303.16)/(1.987*('III. Datos Entrada-BE'!C34+273)*303.16))))</f>
        <v>0.104</v>
      </c>
      <c r="E242" s="620">
        <f t="shared" si="27"/>
        <v>1.25</v>
      </c>
      <c r="F242" s="675">
        <f>(E242*'III. Datos Entrada-BE'!G81*'III. Datos Entrada-BE'!$G$192*C242*0.8)+G242</f>
        <v>0</v>
      </c>
      <c r="G242" s="670">
        <f>IF('III. Datos Entrada-BE'!$E$165=B241,0,IF('III. Datos Entrada-BE'!$F$165=B241,0,IF('III. Datos Entrada-BE'!$G$165=B241,0,IF('III. Datos Entrada-BE'!$C$165="Sí",0,(F241-H241)))))</f>
        <v>0</v>
      </c>
      <c r="H242" s="668">
        <f t="shared" si="29"/>
        <v>0</v>
      </c>
      <c r="I242" s="668">
        <f>IF('III. Datos Entrada-BE'!D34=0,0,H242*'III. Datos Entrada-BE'!$C$124*0.717*0.001)*('III. Datos Entrada-BE'!G34/'III. Datos Entrada-BE'!E34)</f>
        <v>0</v>
      </c>
      <c r="J242" s="700">
        <f t="shared" si="28"/>
        <v>0</v>
      </c>
      <c r="K242" s="38"/>
      <c r="L242" s="38"/>
      <c r="M242" s="39"/>
      <c r="N242" s="39"/>
      <c r="O242" s="22"/>
      <c r="Q242" s="38"/>
    </row>
    <row r="243" spans="1:94" ht="13" thickBot="1" x14ac:dyDescent="0.3">
      <c r="B243" s="529" t="str">
        <f>'III. Datos Entrada-BE'!$B$35</f>
        <v>abril</v>
      </c>
      <c r="C243" s="667">
        <f>'III. Datos Entrada-BE'!$E$35</f>
        <v>30</v>
      </c>
      <c r="D243" s="675">
        <f>MIN(0.95, MAX(0.104,EXP(15175*(('III. Datos Entrada-BE'!C35+273)-303.16)/(1.987*('III. Datos Entrada-BE'!C35+273)*303.16))))</f>
        <v>0.104</v>
      </c>
      <c r="E243" s="620">
        <f t="shared" si="27"/>
        <v>1.25</v>
      </c>
      <c r="F243" s="675">
        <f>(E243*'III. Datos Entrada-BE'!G82*'III. Datos Entrada-BE'!$G$192*C243*0.8)+G243</f>
        <v>0</v>
      </c>
      <c r="G243" s="670">
        <f>IF('III. Datos Entrada-BE'!$E$165=B242,0,IF('III. Datos Entrada-BE'!$F$165=B242,0,IF('III. Datos Entrada-BE'!$G$165=B242,0,IF('III. Datos Entrada-BE'!$C$165="Sí",0,(F242-H242)))))</f>
        <v>0</v>
      </c>
      <c r="H243" s="668">
        <f t="shared" si="29"/>
        <v>0</v>
      </c>
      <c r="I243" s="668">
        <f>IF('III. Datos Entrada-BE'!D35=0,0,H243*'III. Datos Entrada-BE'!$C$124*0.717*0.001)*('III. Datos Entrada-BE'!G35/'III. Datos Entrada-BE'!E35)</f>
        <v>0</v>
      </c>
      <c r="J243" s="700">
        <f t="shared" si="28"/>
        <v>0</v>
      </c>
      <c r="K243" s="45"/>
      <c r="L243" s="45"/>
      <c r="M243" s="45"/>
      <c r="N243" s="44"/>
      <c r="O243" s="45"/>
      <c r="P243" s="44"/>
      <c r="Q243" s="44"/>
    </row>
    <row r="244" spans="1:94" ht="13.5" thickBot="1" x14ac:dyDescent="0.35">
      <c r="B244" s="529" t="str">
        <f>'III. Datos Entrada-BE'!$B$36</f>
        <v>mayo</v>
      </c>
      <c r="C244" s="667">
        <f>'III. Datos Entrada-BE'!$E$36</f>
        <v>31</v>
      </c>
      <c r="D244" s="675">
        <f>MIN(0.95, MAX(0.104,EXP(15175*(('III. Datos Entrada-BE'!C36+273)-303.16)/(1.987*('III. Datos Entrada-BE'!C36+273)*303.16))))</f>
        <v>0.104</v>
      </c>
      <c r="E244" s="620">
        <f t="shared" si="27"/>
        <v>1.25</v>
      </c>
      <c r="F244" s="675">
        <f>(E244*'III. Datos Entrada-BE'!G83*'III. Datos Entrada-BE'!$G$192*C244*0.8)+G244</f>
        <v>0</v>
      </c>
      <c r="G244" s="670">
        <f>IF('III. Datos Entrada-BE'!$E$165=B243,0,IF('III. Datos Entrada-BE'!$F$165=B243,0,IF('III. Datos Entrada-BE'!$G$165=B243,0,IF('III. Datos Entrada-BE'!$C$165="Sí",0,(F243-H243)))))</f>
        <v>0</v>
      </c>
      <c r="H244" s="668">
        <f t="shared" si="29"/>
        <v>0</v>
      </c>
      <c r="I244" s="668">
        <f>IF('III. Datos Entrada-BE'!D36=0,0,H244*'III. Datos Entrada-BE'!$C$124*0.717*0.001)*('III. Datos Entrada-BE'!G36/'III. Datos Entrada-BE'!E36)</f>
        <v>0</v>
      </c>
      <c r="J244" s="700">
        <f t="shared" si="28"/>
        <v>0</v>
      </c>
      <c r="K244" s="22"/>
      <c r="L244" s="22"/>
      <c r="M244" s="22"/>
      <c r="O244" s="10"/>
    </row>
    <row r="245" spans="1:94" ht="13.5" thickBot="1" x14ac:dyDescent="0.35">
      <c r="B245" s="529" t="str">
        <f>'III. Datos Entrada-BE'!$B$37</f>
        <v>junio</v>
      </c>
      <c r="C245" s="667">
        <f>'III. Datos Entrada-BE'!$E$37</f>
        <v>30</v>
      </c>
      <c r="D245" s="675">
        <f>MIN(0.95, MAX(0.104,EXP(15175*(('III. Datos Entrada-BE'!C37+273)-303.16)/(1.987*('III. Datos Entrada-BE'!C37+273)*303.16))))</f>
        <v>0.104</v>
      </c>
      <c r="E245" s="620">
        <f t="shared" si="27"/>
        <v>1.25</v>
      </c>
      <c r="F245" s="675">
        <f>(E245*'III. Datos Entrada-BE'!G84*'III. Datos Entrada-BE'!$G$192*C245*0.8)+G245</f>
        <v>0</v>
      </c>
      <c r="G245" s="670">
        <f>IF('III. Datos Entrada-BE'!$E$165=B244,0,IF('III. Datos Entrada-BE'!$F$165=B244,0,IF('III. Datos Entrada-BE'!$G$165=B244,0,IF('III. Datos Entrada-BE'!$C$165="Sí",0,(F244-H244)))))</f>
        <v>0</v>
      </c>
      <c r="H245" s="668">
        <f t="shared" si="29"/>
        <v>0</v>
      </c>
      <c r="I245" s="668">
        <f>IF('III. Datos Entrada-BE'!D37=0,0,H245*'III. Datos Entrada-BE'!$C$124*0.717*0.001)*('III. Datos Entrada-BE'!G37/'III. Datos Entrada-BE'!E37)</f>
        <v>0</v>
      </c>
      <c r="J245" s="700">
        <f t="shared" si="28"/>
        <v>0</v>
      </c>
      <c r="K245" s="22"/>
      <c r="L245" s="22"/>
      <c r="M245" s="22"/>
      <c r="O245" s="10"/>
    </row>
    <row r="246" spans="1:94" ht="13.5" thickBot="1" x14ac:dyDescent="0.35">
      <c r="B246" s="529" t="str">
        <f>'III. Datos Entrada-BE'!$B$38</f>
        <v>julio</v>
      </c>
      <c r="C246" s="667">
        <f>'III. Datos Entrada-BE'!$E$38</f>
        <v>31</v>
      </c>
      <c r="D246" s="675">
        <f>MIN(0.95, MAX(0.104,EXP(15175*(('III. Datos Entrada-BE'!C38+273)-303.16)/(1.987*('III. Datos Entrada-BE'!C38+273)*303.16))))</f>
        <v>0.104</v>
      </c>
      <c r="E246" s="620">
        <f t="shared" si="27"/>
        <v>1.25</v>
      </c>
      <c r="F246" s="675">
        <f>(E246*'III. Datos Entrada-BE'!G85*'III. Datos Entrada-BE'!$G$192*C246*0.8)+G246</f>
        <v>0</v>
      </c>
      <c r="G246" s="670">
        <f>IF('III. Datos Entrada-BE'!$E$165=B245,0,IF('III. Datos Entrada-BE'!$F$165=B245,0,IF('III. Datos Entrada-BE'!$G$165=B245,0,IF('III. Datos Entrada-BE'!$C$165="Sí",0,(F245-H245)))))</f>
        <v>0</v>
      </c>
      <c r="H246" s="668">
        <f t="shared" si="29"/>
        <v>0</v>
      </c>
      <c r="I246" s="668">
        <f>IF('III. Datos Entrada-BE'!D38=0,0,H246*'III. Datos Entrada-BE'!$C$124*0.717*0.001)*('III. Datos Entrada-BE'!G38/'III. Datos Entrada-BE'!E38)</f>
        <v>0</v>
      </c>
      <c r="J246" s="700">
        <f t="shared" si="28"/>
        <v>0</v>
      </c>
      <c r="K246" s="22"/>
      <c r="L246" s="22"/>
      <c r="M246" s="22"/>
      <c r="O246" s="10"/>
    </row>
    <row r="247" spans="1:94" ht="13" thickBot="1" x14ac:dyDescent="0.3">
      <c r="B247" s="529" t="str">
        <f>'III. Datos Entrada-BE'!$B$39</f>
        <v>agosto</v>
      </c>
      <c r="C247" s="667">
        <f>'III. Datos Entrada-BE'!$E$39</f>
        <v>31</v>
      </c>
      <c r="D247" s="675">
        <f>MIN(0.95, MAX(0.104,EXP(15175*(('III. Datos Entrada-BE'!C39+273)-303.16)/(1.987*('III. Datos Entrada-BE'!C39+273)*303.16))))</f>
        <v>0.104</v>
      </c>
      <c r="E247" s="620">
        <f t="shared" si="27"/>
        <v>1.25</v>
      </c>
      <c r="F247" s="675">
        <f>(E247*'III. Datos Entrada-BE'!G86*'III. Datos Entrada-BE'!$G$192*C247*0.8)+G247</f>
        <v>0</v>
      </c>
      <c r="G247" s="670">
        <f>IF('III. Datos Entrada-BE'!$E$165=B246,0,IF('III. Datos Entrada-BE'!$F$165=B246,0,IF('III. Datos Entrada-BE'!$G$165=B246,0,IF('III. Datos Entrada-BE'!$C$165="Sí",0,(F246-H246)))))</f>
        <v>0</v>
      </c>
      <c r="H247" s="668">
        <f t="shared" si="29"/>
        <v>0</v>
      </c>
      <c r="I247" s="668">
        <f>IF('III. Datos Entrada-BE'!D39=0,0,H247*'III. Datos Entrada-BE'!$C$124*0.717*0.001)*('III. Datos Entrada-BE'!G39/'III. Datos Entrada-BE'!E39)</f>
        <v>0</v>
      </c>
      <c r="J247" s="700">
        <f t="shared" si="28"/>
        <v>0</v>
      </c>
      <c r="K247" s="20"/>
      <c r="L247" s="20"/>
      <c r="M247" s="20"/>
    </row>
    <row r="248" spans="1:94" ht="13" thickBot="1" x14ac:dyDescent="0.3">
      <c r="B248" s="529" t="str">
        <f>'III. Datos Entrada-BE'!$B$40</f>
        <v>septiembre</v>
      </c>
      <c r="C248" s="667">
        <f>'III. Datos Entrada-BE'!$E$40</f>
        <v>30</v>
      </c>
      <c r="D248" s="675">
        <f>MIN(0.95, MAX(0.104,EXP(15175*(('III. Datos Entrada-BE'!C40+273)-303.16)/(1.987*('III. Datos Entrada-BE'!C40+273)*303.16))))</f>
        <v>0.104</v>
      </c>
      <c r="E248" s="620">
        <f t="shared" si="27"/>
        <v>1.25</v>
      </c>
      <c r="F248" s="675">
        <f>(E248*'III. Datos Entrada-BE'!G87*'III. Datos Entrada-BE'!$G$192*C248*0.8)+G248</f>
        <v>0</v>
      </c>
      <c r="G248" s="670">
        <f>IF('III. Datos Entrada-BE'!$E$165=B247,0,IF('III. Datos Entrada-BE'!$F$165=B247,0,IF('III. Datos Entrada-BE'!$G$165=B247,0,IF('III. Datos Entrada-BE'!$C$165="Sí",0,(F247-H247)))))</f>
        <v>0</v>
      </c>
      <c r="H248" s="668">
        <f t="shared" si="29"/>
        <v>0</v>
      </c>
      <c r="I248" s="668">
        <f>IF('III. Datos Entrada-BE'!D40=0,0,H248*'III. Datos Entrada-BE'!$C$124*0.717*0.001)*('III. Datos Entrada-BE'!G40/'III. Datos Entrada-BE'!E40)</f>
        <v>0</v>
      </c>
      <c r="J248" s="700">
        <f t="shared" si="28"/>
        <v>0</v>
      </c>
      <c r="K248" s="45"/>
      <c r="L248" s="45"/>
      <c r="O248" s="10"/>
      <c r="P248" s="18"/>
    </row>
    <row r="249" spans="1:94" ht="13.5" thickBot="1" x14ac:dyDescent="0.35">
      <c r="B249" s="529" t="str">
        <f>'III. Datos Entrada-BE'!$B$41</f>
        <v>octubre</v>
      </c>
      <c r="C249" s="667">
        <f>'III. Datos Entrada-BE'!$E$41</f>
        <v>31</v>
      </c>
      <c r="D249" s="675">
        <f>MIN(0.95, MAX(0.104,EXP(15175*(('III. Datos Entrada-BE'!C41+273)-303.16)/(1.987*('III. Datos Entrada-BE'!C41+273)*303.16))))</f>
        <v>0.104</v>
      </c>
      <c r="E249" s="620">
        <f t="shared" si="27"/>
        <v>1.25</v>
      </c>
      <c r="F249" s="675">
        <f>(E249*'III. Datos Entrada-BE'!G88*'III. Datos Entrada-BE'!$G$192*C249*0.8)+G249</f>
        <v>0</v>
      </c>
      <c r="G249" s="670">
        <f>IF('III. Datos Entrada-BE'!$E$165=B248,0,IF('III. Datos Entrada-BE'!$F$165=B248,0,IF('III. Datos Entrada-BE'!$G$165=B248,0,IF('III. Datos Entrada-BE'!$C$165="Sí",0,(F248-H248)))))</f>
        <v>0</v>
      </c>
      <c r="H249" s="668">
        <f t="shared" si="29"/>
        <v>0</v>
      </c>
      <c r="I249" s="668">
        <f>IF('III. Datos Entrada-BE'!D41=0,0,H249*'III. Datos Entrada-BE'!$C$124*0.717*0.001)*('III. Datos Entrada-BE'!G41/'III. Datos Entrada-BE'!E41)</f>
        <v>0</v>
      </c>
      <c r="J249" s="700">
        <f t="shared" si="28"/>
        <v>0</v>
      </c>
      <c r="N249" s="9"/>
      <c r="O249" s="10"/>
    </row>
    <row r="250" spans="1:94" ht="13" thickBot="1" x14ac:dyDescent="0.3">
      <c r="B250" s="529" t="str">
        <f>'III. Datos Entrada-BE'!$B$42</f>
        <v>noviembre</v>
      </c>
      <c r="C250" s="667">
        <f>'III. Datos Entrada-BE'!$E$42</f>
        <v>30</v>
      </c>
      <c r="D250" s="675">
        <f>MIN(0.95, MAX(0.104,EXP(15175*(('III. Datos Entrada-BE'!C42+273)-303.16)/(1.987*('III. Datos Entrada-BE'!C42+273)*303.16))))</f>
        <v>0.104</v>
      </c>
      <c r="E250" s="620">
        <f t="shared" si="27"/>
        <v>1.25</v>
      </c>
      <c r="F250" s="675">
        <f>(E250*'III. Datos Entrada-BE'!G89*'III. Datos Entrada-BE'!$G$192*C250*0.8)+G250</f>
        <v>0</v>
      </c>
      <c r="G250" s="670">
        <f>IF('III. Datos Entrada-BE'!$E$165=B249,0,IF('III. Datos Entrada-BE'!$F$165=B249,0,IF('III. Datos Entrada-BE'!$G$165=B249,0,IF('III. Datos Entrada-BE'!$C$165="Sí",0,(F249-H249)))))</f>
        <v>0</v>
      </c>
      <c r="H250" s="668">
        <f t="shared" si="29"/>
        <v>0</v>
      </c>
      <c r="I250" s="668">
        <f>IF('III. Datos Entrada-BE'!D42=0,0,H250*'III. Datos Entrada-BE'!$C$124*0.717*0.001)*('III. Datos Entrada-BE'!G42/'III. Datos Entrada-BE'!E42)</f>
        <v>0</v>
      </c>
      <c r="J250" s="700">
        <f t="shared" si="28"/>
        <v>0</v>
      </c>
    </row>
    <row r="251" spans="1:94" ht="13" thickBot="1" x14ac:dyDescent="0.3">
      <c r="B251" s="553" t="str">
        <f>'III. Datos Entrada-BE'!$B$43</f>
        <v>diciembre</v>
      </c>
      <c r="C251" s="671">
        <f>'III. Datos Entrada-BE'!$E$43</f>
        <v>31</v>
      </c>
      <c r="D251" s="677">
        <f>MIN(0.95, MAX(0.104,EXP(15175*(('III. Datos Entrada-BE'!C43+273)-303.16)/(1.987*('III. Datos Entrada-BE'!C43+273)*303.16))))</f>
        <v>0.104</v>
      </c>
      <c r="E251" s="678">
        <f t="shared" si="27"/>
        <v>1.25</v>
      </c>
      <c r="F251" s="677">
        <f>(E251*'III. Datos Entrada-BE'!G90*'III. Datos Entrada-BE'!$G$192*C251*0.8)+G251</f>
        <v>0</v>
      </c>
      <c r="G251" s="670">
        <f>IF('III. Datos Entrada-BE'!$E$165=B250,0,IF('III. Datos Entrada-BE'!$F$165=B250,0,IF('III. Datos Entrada-BE'!$G$165=B250,0,IF('III. Datos Entrada-BE'!$C$165="Sí",0,(F250-H250)))))</f>
        <v>0</v>
      </c>
      <c r="H251" s="575">
        <f t="shared" si="29"/>
        <v>0</v>
      </c>
      <c r="I251" s="575">
        <f>IF('III. Datos Entrada-BE'!D43=0,0,H251*'III. Datos Entrada-BE'!$C$124*0.717*0.001)*('III. Datos Entrada-BE'!G43/'III. Datos Entrada-BE'!E43)</f>
        <v>0</v>
      </c>
      <c r="J251" s="700">
        <f t="shared" si="28"/>
        <v>0</v>
      </c>
    </row>
    <row r="252" spans="1:94" ht="13.5" thickBot="1" x14ac:dyDescent="0.35">
      <c r="B252" s="27" t="s">
        <v>166</v>
      </c>
      <c r="C252" s="504"/>
      <c r="D252" s="505"/>
      <c r="E252" s="505"/>
      <c r="F252" s="506"/>
      <c r="G252" s="507"/>
      <c r="H252" s="906">
        <f>SUM(H240:H251)</f>
        <v>0</v>
      </c>
      <c r="I252" s="376">
        <f>SUM(I240:I251)</f>
        <v>0</v>
      </c>
      <c r="J252" s="54">
        <f>SUM(J240:J251)</f>
        <v>0</v>
      </c>
    </row>
    <row r="253" spans="1:94" ht="13.5" thickBot="1" x14ac:dyDescent="0.35">
      <c r="B253" s="9"/>
      <c r="C253" s="70"/>
      <c r="D253" s="12"/>
      <c r="E253" s="12"/>
      <c r="F253" s="8"/>
      <c r="G253" s="8"/>
      <c r="H253" s="12"/>
      <c r="I253" s="12"/>
      <c r="J253" s="8"/>
    </row>
    <row r="254" spans="1:94" s="49" customFormat="1" ht="28.5" customHeight="1" thickBot="1" x14ac:dyDescent="0.35">
      <c r="A254" s="2"/>
      <c r="B254" s="1232" t="s">
        <v>928</v>
      </c>
      <c r="C254" s="1233"/>
      <c r="D254" s="1233"/>
      <c r="E254" s="1233"/>
      <c r="F254" s="1234"/>
      <c r="G254" s="456">
        <f>IF('III. Datos Entrada-BE'!C$165="Sí",0,IF('III. Datos Entrada-BE'!E$165=B251,0,IF('III. Datos Entrada-BE'!F$165='V. BE CH4-AS'!B251,0,IF('III. Datos Entrada-BE'!G$165='V. BE CH4-AS'!B251,0,F251-H251))))</f>
        <v>0</v>
      </c>
      <c r="H254" s="12"/>
      <c r="I254" s="12"/>
      <c r="J254" s="8"/>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row>
    <row r="255" spans="1:94" ht="128" thickBot="1" x14ac:dyDescent="0.35">
      <c r="G255" s="46" t="s">
        <v>927</v>
      </c>
      <c r="H255" s="12"/>
      <c r="I255" s="12"/>
      <c r="J255" s="8"/>
    </row>
    <row r="256" spans="1:94" ht="13" x14ac:dyDescent="0.3">
      <c r="B256" s="9"/>
      <c r="C256" s="26"/>
      <c r="E256" s="8"/>
      <c r="F256" s="12"/>
      <c r="G256" s="12"/>
      <c r="H256" s="12"/>
      <c r="I256" s="12"/>
      <c r="J256" s="12"/>
    </row>
    <row r="257" spans="2:13" ht="13.5" thickBot="1" x14ac:dyDescent="0.35">
      <c r="B257" s="9"/>
      <c r="C257" s="53"/>
    </row>
    <row r="258" spans="2:13" ht="13" x14ac:dyDescent="0.3">
      <c r="B258" s="9"/>
      <c r="C258" s="53"/>
      <c r="E258" s="1083" t="s">
        <v>924</v>
      </c>
      <c r="F258" s="1109"/>
      <c r="G258" s="1109"/>
      <c r="H258" s="1109"/>
      <c r="I258" s="1109"/>
      <c r="J258" s="1110"/>
    </row>
    <row r="259" spans="2:13" ht="13.5" thickBot="1" x14ac:dyDescent="0.35">
      <c r="B259" s="9"/>
      <c r="C259" s="53"/>
      <c r="E259" s="1107"/>
      <c r="F259" s="1111"/>
      <c r="G259" s="1111"/>
      <c r="H259" s="1111"/>
      <c r="I259" s="1111"/>
      <c r="J259" s="1112"/>
    </row>
    <row r="260" spans="2:13" ht="52.5" thickBot="1" x14ac:dyDescent="0.35">
      <c r="B260" s="23" t="str">
        <f>'III. Datos Entrada-BE'!C58</f>
        <v>Terneros (en lechero, en pastos/pastizales) 
Calves (on milk, in pasture/rangeland)</v>
      </c>
      <c r="C260" s="24">
        <f>'III. Datos Entrada-BE'!B136</f>
        <v>0</v>
      </c>
      <c r="D260" s="25"/>
      <c r="E260" s="1113"/>
      <c r="F260" s="1114"/>
      <c r="G260" s="1114"/>
      <c r="H260" s="1114"/>
      <c r="I260" s="1114"/>
      <c r="J260" s="1115"/>
    </row>
    <row r="261" spans="2:13" ht="15" x14ac:dyDescent="0.4">
      <c r="B261" s="574" t="s">
        <v>158</v>
      </c>
      <c r="C261" s="666">
        <f>'III. Datos Entrada-BE'!D109</f>
        <v>0.52</v>
      </c>
      <c r="E261" s="8"/>
      <c r="F261" s="12"/>
      <c r="G261" s="12"/>
      <c r="H261" s="12"/>
      <c r="I261" s="12"/>
      <c r="J261" s="12"/>
    </row>
    <row r="262" spans="2:13" ht="13.5" thickBot="1" x14ac:dyDescent="0.35">
      <c r="B262" s="69"/>
      <c r="C262" s="420"/>
      <c r="E262" s="8"/>
      <c r="F262" s="12"/>
      <c r="G262" s="12"/>
      <c r="H262" s="12"/>
      <c r="I262" s="12"/>
      <c r="J262" s="12"/>
    </row>
    <row r="263" spans="2:13" ht="27.5" thickBot="1" x14ac:dyDescent="0.45">
      <c r="B263" s="905" t="s">
        <v>442</v>
      </c>
      <c r="C263" s="269" t="s">
        <v>922</v>
      </c>
      <c r="D263" s="59" t="s">
        <v>159</v>
      </c>
      <c r="E263" s="60" t="s">
        <v>160</v>
      </c>
      <c r="F263" s="61" t="s">
        <v>161</v>
      </c>
      <c r="G263" s="60" t="s">
        <v>162</v>
      </c>
      <c r="H263" s="61" t="s">
        <v>163</v>
      </c>
      <c r="I263" s="62" t="s">
        <v>164</v>
      </c>
      <c r="J263" s="63" t="s">
        <v>165</v>
      </c>
    </row>
    <row r="264" spans="2:13" ht="13" thickBot="1" x14ac:dyDescent="0.3">
      <c r="B264" s="29" t="str">
        <f>'III. Datos Entrada-BE'!$B$32</f>
        <v>enero</v>
      </c>
      <c r="C264" s="416">
        <f>'III. Datos Entrada-BE'!$E$32</f>
        <v>31</v>
      </c>
      <c r="D264" s="50">
        <f>MIN(0.95, MAX(0.104,EXP(15175*(('III. Datos Entrada-BE'!C32+273)-303.16)/(1.987*('III. Datos Entrada-BE'!C32+273)*303.16))))</f>
        <v>0.104</v>
      </c>
      <c r="E264" s="51">
        <f t="shared" ref="E264:E275" si="30">$C$261</f>
        <v>0.52</v>
      </c>
      <c r="F264" s="50">
        <f>(E264*'III. Datos Entrada-BE'!H79*'III. Datos Entrada-BE'!$H$191*C264*0.8)+G264</f>
        <v>0</v>
      </c>
      <c r="G264" s="32"/>
      <c r="H264" s="31">
        <f>F264*D264</f>
        <v>0</v>
      </c>
      <c r="I264" s="31">
        <f>IF('III. Datos Entrada-BE'!D32=0,0,H264*'III. Datos Entrada-BE'!$C$125*0.717*0.001)*('III. Datos Entrada-BE'!G32/'III. Datos Entrada-BE'!E32)</f>
        <v>0</v>
      </c>
      <c r="J264" s="700">
        <f t="shared" ref="J264:J275" si="31">I264*PCG</f>
        <v>0</v>
      </c>
      <c r="K264" s="20"/>
      <c r="L264" s="20"/>
      <c r="M264" s="20"/>
    </row>
    <row r="265" spans="2:13" ht="13" thickBot="1" x14ac:dyDescent="0.3">
      <c r="B265" s="529" t="str">
        <f>'III. Datos Entrada-BE'!$B$33</f>
        <v>febrero</v>
      </c>
      <c r="C265" s="667">
        <f>'III. Datos Entrada-BE'!$E$33</f>
        <v>28</v>
      </c>
      <c r="D265" s="675">
        <f>MIN(0.95, MAX(0.104,EXP(15175*(('III. Datos Entrada-BE'!C33+273)-303.16)/(1.987*('III. Datos Entrada-BE'!C33+273)*303.16))))</f>
        <v>0.104</v>
      </c>
      <c r="E265" s="620">
        <f t="shared" si="30"/>
        <v>0.52</v>
      </c>
      <c r="F265" s="675">
        <f>(E265*'III. Datos Entrada-BE'!H80*'III. Datos Entrada-BE'!$H$191*C265*0.8)+G265</f>
        <v>0</v>
      </c>
      <c r="G265" s="670">
        <f>IF('III. Datos Entrada-BE'!$E$164=B264,0,IF('III. Datos Entrada-BE'!$F$164=B264,0,IF('III. Datos Entrada-BE'!$G$164=B264,0,IF('III. Datos Entrada-BE'!$C$164="Sí",0,(F264-H264)))))</f>
        <v>0</v>
      </c>
      <c r="H265" s="668">
        <f t="shared" ref="H265:H275" si="32">F265*D265</f>
        <v>0</v>
      </c>
      <c r="I265" s="668">
        <f>IF('III. Datos Entrada-BE'!D33=0,0,H265*'III. Datos Entrada-BE'!$C$125*0.717*0.001)*('III. Datos Entrada-BE'!G33/'III. Datos Entrada-BE'!E33)</f>
        <v>0</v>
      </c>
      <c r="J265" s="700">
        <f t="shared" si="31"/>
        <v>0</v>
      </c>
      <c r="K265" s="45"/>
      <c r="L265" s="45"/>
    </row>
    <row r="266" spans="2:13" ht="13" thickBot="1" x14ac:dyDescent="0.3">
      <c r="B266" s="529" t="str">
        <f>'III. Datos Entrada-BE'!$B$34</f>
        <v>marzo</v>
      </c>
      <c r="C266" s="667">
        <f>'III. Datos Entrada-BE'!$E$34</f>
        <v>31</v>
      </c>
      <c r="D266" s="675">
        <f>MIN(0.95, MAX(0.104,EXP(15175*(('III. Datos Entrada-BE'!C34+273)-303.16)/(1.987*('III. Datos Entrada-BE'!C34+273)*303.16))))</f>
        <v>0.104</v>
      </c>
      <c r="E266" s="620">
        <f t="shared" si="30"/>
        <v>0.52</v>
      </c>
      <c r="F266" s="675">
        <f>(E266*'III. Datos Entrada-BE'!H81*'III. Datos Entrada-BE'!$H$191*C266*0.8)+G266</f>
        <v>0</v>
      </c>
      <c r="G266" s="670">
        <f>IF('III. Datos Entrada-BE'!$E$164=B265,0,IF('III. Datos Entrada-BE'!$F$164=B265,0,IF('III. Datos Entrada-BE'!$G$164=B265,0,IF('III. Datos Entrada-BE'!$C$164="Sí",0,(F265-H265)))))</f>
        <v>0</v>
      </c>
      <c r="H266" s="668">
        <f t="shared" si="32"/>
        <v>0</v>
      </c>
      <c r="I266" s="668">
        <f>IF('III. Datos Entrada-BE'!D34=0,0,H266*'III. Datos Entrada-BE'!$C$125*0.717*0.001)*('III. Datos Entrada-BE'!G34/'III. Datos Entrada-BE'!E34)</f>
        <v>0</v>
      </c>
      <c r="J266" s="700">
        <f t="shared" si="31"/>
        <v>0</v>
      </c>
    </row>
    <row r="267" spans="2:13" ht="13" thickBot="1" x14ac:dyDescent="0.3">
      <c r="B267" s="529" t="str">
        <f>'III. Datos Entrada-BE'!$B$35</f>
        <v>abril</v>
      </c>
      <c r="C267" s="667">
        <f>'III. Datos Entrada-BE'!$E$35</f>
        <v>30</v>
      </c>
      <c r="D267" s="675">
        <f>MIN(0.95, MAX(0.104,EXP(15175*(('III. Datos Entrada-BE'!C35+273)-303.16)/(1.987*('III. Datos Entrada-BE'!C35+273)*303.16))))</f>
        <v>0.104</v>
      </c>
      <c r="E267" s="620">
        <f t="shared" si="30"/>
        <v>0.52</v>
      </c>
      <c r="F267" s="675">
        <f>(E267*'III. Datos Entrada-BE'!H82*'III. Datos Entrada-BE'!$H$191*C267*0.8)+G267</f>
        <v>0</v>
      </c>
      <c r="G267" s="670">
        <f>IF('III. Datos Entrada-BE'!$E$164=B266,0,IF('III. Datos Entrada-BE'!$F$164=B266,0,IF('III. Datos Entrada-BE'!$G$164=B266,0,IF('III. Datos Entrada-BE'!$C$164="Sí",0,(F266-H266)))))</f>
        <v>0</v>
      </c>
      <c r="H267" s="668">
        <f t="shared" si="32"/>
        <v>0</v>
      </c>
      <c r="I267" s="668">
        <f>IF('III. Datos Entrada-BE'!D35=0,0,H267*'III. Datos Entrada-BE'!$C$125*0.717*0.001)*('III. Datos Entrada-BE'!G35/'III. Datos Entrada-BE'!E35)</f>
        <v>0</v>
      </c>
      <c r="J267" s="700">
        <f t="shared" si="31"/>
        <v>0</v>
      </c>
    </row>
    <row r="268" spans="2:13" ht="13" thickBot="1" x14ac:dyDescent="0.3">
      <c r="B268" s="529" t="str">
        <f>'III. Datos Entrada-BE'!$B$36</f>
        <v>mayo</v>
      </c>
      <c r="C268" s="667">
        <f>'III. Datos Entrada-BE'!$E$36</f>
        <v>31</v>
      </c>
      <c r="D268" s="675">
        <f>MIN(0.95, MAX(0.104,EXP(15175*(('III. Datos Entrada-BE'!C36+273)-303.16)/(1.987*('III. Datos Entrada-BE'!C36+273)*303.16))))</f>
        <v>0.104</v>
      </c>
      <c r="E268" s="620">
        <f t="shared" si="30"/>
        <v>0.52</v>
      </c>
      <c r="F268" s="675">
        <f>(E268*'III. Datos Entrada-BE'!H83*'III. Datos Entrada-BE'!$H$191*C268*0.8)+G268</f>
        <v>0</v>
      </c>
      <c r="G268" s="670">
        <f>IF('III. Datos Entrada-BE'!$E$164=B267,0,IF('III. Datos Entrada-BE'!$F$164=B267,0,IF('III. Datos Entrada-BE'!$G$164=B267,0,IF('III. Datos Entrada-BE'!$C$164="Sí",0,(F267-H267)))))</f>
        <v>0</v>
      </c>
      <c r="H268" s="668">
        <f t="shared" si="32"/>
        <v>0</v>
      </c>
      <c r="I268" s="668">
        <f>IF('III. Datos Entrada-BE'!D36=0,0,H268*'III. Datos Entrada-BE'!$C$125*0.717*0.001)*('III. Datos Entrada-BE'!G36/'III. Datos Entrada-BE'!E36)</f>
        <v>0</v>
      </c>
      <c r="J268" s="700">
        <f t="shared" si="31"/>
        <v>0</v>
      </c>
    </row>
    <row r="269" spans="2:13" ht="13" thickBot="1" x14ac:dyDescent="0.3">
      <c r="B269" s="529" t="str">
        <f>'III. Datos Entrada-BE'!$B$37</f>
        <v>junio</v>
      </c>
      <c r="C269" s="667">
        <f>'III. Datos Entrada-BE'!$E$37</f>
        <v>30</v>
      </c>
      <c r="D269" s="675">
        <f>MIN(0.95, MAX(0.104,EXP(15175*(('III. Datos Entrada-BE'!C37+273)-303.16)/(1.987*('III. Datos Entrada-BE'!C37+273)*303.16))))</f>
        <v>0.104</v>
      </c>
      <c r="E269" s="620">
        <f t="shared" si="30"/>
        <v>0.52</v>
      </c>
      <c r="F269" s="675">
        <f>(E269*'III. Datos Entrada-BE'!H84*'III. Datos Entrada-BE'!$H$191*C269*0.8)+G269</f>
        <v>0</v>
      </c>
      <c r="G269" s="670">
        <f>IF('III. Datos Entrada-BE'!$E$164=B268,0,IF('III. Datos Entrada-BE'!$F$164=B268,0,IF('III. Datos Entrada-BE'!$G$164=B268,0,IF('III. Datos Entrada-BE'!$C$164="Sí",0,(F268-H268)))))</f>
        <v>0</v>
      </c>
      <c r="H269" s="668">
        <f t="shared" si="32"/>
        <v>0</v>
      </c>
      <c r="I269" s="668">
        <f>IF('III. Datos Entrada-BE'!D37=0,0,H269*'III. Datos Entrada-BE'!$C$125*0.717*0.001)*('III. Datos Entrada-BE'!G37/'III. Datos Entrada-BE'!E37)</f>
        <v>0</v>
      </c>
      <c r="J269" s="700">
        <f t="shared" si="31"/>
        <v>0</v>
      </c>
    </row>
    <row r="270" spans="2:13" ht="13" thickBot="1" x14ac:dyDescent="0.3">
      <c r="B270" s="529" t="str">
        <f>'III. Datos Entrada-BE'!$B$38</f>
        <v>julio</v>
      </c>
      <c r="C270" s="667">
        <f>'III. Datos Entrada-BE'!$E$38</f>
        <v>31</v>
      </c>
      <c r="D270" s="675">
        <f>MIN(0.95, MAX(0.104,EXP(15175*(('III. Datos Entrada-BE'!C38+273)-303.16)/(1.987*('III. Datos Entrada-BE'!C38+273)*303.16))))</f>
        <v>0.104</v>
      </c>
      <c r="E270" s="620">
        <f t="shared" si="30"/>
        <v>0.52</v>
      </c>
      <c r="F270" s="675">
        <f>(E270*'III. Datos Entrada-BE'!H85*'III. Datos Entrada-BE'!$H$191*C270*0.8)+G270</f>
        <v>0</v>
      </c>
      <c r="G270" s="670">
        <f>IF('III. Datos Entrada-BE'!$E$164=B269,0,IF('III. Datos Entrada-BE'!$F$164=B269,0,IF('III. Datos Entrada-BE'!$G$164=B269,0,IF('III. Datos Entrada-BE'!$C$164="Sí",0,(F269-H269)))))</f>
        <v>0</v>
      </c>
      <c r="H270" s="668">
        <f t="shared" si="32"/>
        <v>0</v>
      </c>
      <c r="I270" s="668">
        <f>IF('III. Datos Entrada-BE'!D38=0,0,H270*'III. Datos Entrada-BE'!$C$125*0.717*0.001)*('III. Datos Entrada-BE'!G38/'III. Datos Entrada-BE'!E38)</f>
        <v>0</v>
      </c>
      <c r="J270" s="700">
        <f t="shared" si="31"/>
        <v>0</v>
      </c>
    </row>
    <row r="271" spans="2:13" ht="13" thickBot="1" x14ac:dyDescent="0.3">
      <c r="B271" s="529" t="str">
        <f>'III. Datos Entrada-BE'!$B$39</f>
        <v>agosto</v>
      </c>
      <c r="C271" s="667">
        <f>'III. Datos Entrada-BE'!$E$39</f>
        <v>31</v>
      </c>
      <c r="D271" s="675">
        <f>MIN(0.95, MAX(0.104,EXP(15175*(('III. Datos Entrada-BE'!C39+273)-303.16)/(1.987*('III. Datos Entrada-BE'!C39+273)*303.16))))</f>
        <v>0.104</v>
      </c>
      <c r="E271" s="620">
        <f t="shared" si="30"/>
        <v>0.52</v>
      </c>
      <c r="F271" s="675">
        <f>(E271*'III. Datos Entrada-BE'!H86*'III. Datos Entrada-BE'!$H$191*C271*0.8)+G271</f>
        <v>0</v>
      </c>
      <c r="G271" s="670">
        <f>IF('III. Datos Entrada-BE'!$E$164=B270,0,IF('III. Datos Entrada-BE'!$F$164=B270,0,IF('III. Datos Entrada-BE'!$G$164=B270,0,IF('III. Datos Entrada-BE'!$C$164="Sí",0,(F270-H270)))))</f>
        <v>0</v>
      </c>
      <c r="H271" s="668">
        <f t="shared" si="32"/>
        <v>0</v>
      </c>
      <c r="I271" s="668">
        <f>IF('III. Datos Entrada-BE'!D39=0,0,H271*'III. Datos Entrada-BE'!$C$125*0.717*0.001)*('III. Datos Entrada-BE'!G39/'III. Datos Entrada-BE'!E39)</f>
        <v>0</v>
      </c>
      <c r="J271" s="700">
        <f t="shared" si="31"/>
        <v>0</v>
      </c>
    </row>
    <row r="272" spans="2:13" ht="13" thickBot="1" x14ac:dyDescent="0.3">
      <c r="B272" s="529" t="str">
        <f>'III. Datos Entrada-BE'!$B$40</f>
        <v>septiembre</v>
      </c>
      <c r="C272" s="667">
        <f>'III. Datos Entrada-BE'!$E$40</f>
        <v>30</v>
      </c>
      <c r="D272" s="675">
        <f>MIN(0.95, MAX(0.104,EXP(15175*(('III. Datos Entrada-BE'!C40+273)-303.16)/(1.987*('III. Datos Entrada-BE'!C40+273)*303.16))))</f>
        <v>0.104</v>
      </c>
      <c r="E272" s="620">
        <f t="shared" si="30"/>
        <v>0.52</v>
      </c>
      <c r="F272" s="675">
        <f>(E272*'III. Datos Entrada-BE'!H87*'III. Datos Entrada-BE'!$H$191*C272*0.8)+G272</f>
        <v>0</v>
      </c>
      <c r="G272" s="670">
        <f>IF('III. Datos Entrada-BE'!$E$164=B271,0,IF('III. Datos Entrada-BE'!$F$164=B271,0,IF('III. Datos Entrada-BE'!$G$164=B271,0,IF('III. Datos Entrada-BE'!$C$164="Sí",0,(F271-H271)))))</f>
        <v>0</v>
      </c>
      <c r="H272" s="668">
        <f t="shared" si="32"/>
        <v>0</v>
      </c>
      <c r="I272" s="668">
        <f>IF('III. Datos Entrada-BE'!D40=0,0,H272*'III. Datos Entrada-BE'!$C$125*0.717*0.001)*('III. Datos Entrada-BE'!G40/'III. Datos Entrada-BE'!E40)</f>
        <v>0</v>
      </c>
      <c r="J272" s="700">
        <f t="shared" si="31"/>
        <v>0</v>
      </c>
    </row>
    <row r="273" spans="2:17" ht="13" thickBot="1" x14ac:dyDescent="0.3">
      <c r="B273" s="529" t="str">
        <f>'III. Datos Entrada-BE'!$B$41</f>
        <v>octubre</v>
      </c>
      <c r="C273" s="667">
        <f>'III. Datos Entrada-BE'!$E$41</f>
        <v>31</v>
      </c>
      <c r="D273" s="675">
        <f>MIN(0.95, MAX(0.104,EXP(15175*(('III. Datos Entrada-BE'!C41+273)-303.16)/(1.987*('III. Datos Entrada-BE'!C41+273)*303.16))))</f>
        <v>0.104</v>
      </c>
      <c r="E273" s="620">
        <f t="shared" si="30"/>
        <v>0.52</v>
      </c>
      <c r="F273" s="675">
        <f>(E273*'III. Datos Entrada-BE'!H88*'III. Datos Entrada-BE'!$H$191*C273*0.8)+G273</f>
        <v>0</v>
      </c>
      <c r="G273" s="670">
        <f>IF('III. Datos Entrada-BE'!$E$164=B272,0,IF('III. Datos Entrada-BE'!$F$164=B272,0,IF('III. Datos Entrada-BE'!$G$164=B272,0,IF('III. Datos Entrada-BE'!$C$164="Sí",0,(F272-H272)))))</f>
        <v>0</v>
      </c>
      <c r="H273" s="668">
        <f t="shared" si="32"/>
        <v>0</v>
      </c>
      <c r="I273" s="668">
        <f>IF('III. Datos Entrada-BE'!D41=0,0,H273*'III. Datos Entrada-BE'!$C$125*0.717*0.001)*('III. Datos Entrada-BE'!G41/'III. Datos Entrada-BE'!E41)</f>
        <v>0</v>
      </c>
      <c r="J273" s="700">
        <f t="shared" si="31"/>
        <v>0</v>
      </c>
    </row>
    <row r="274" spans="2:17" ht="13" thickBot="1" x14ac:dyDescent="0.3">
      <c r="B274" s="529" t="str">
        <f>'III. Datos Entrada-BE'!$B$42</f>
        <v>noviembre</v>
      </c>
      <c r="C274" s="667">
        <f>'III. Datos Entrada-BE'!$E$42</f>
        <v>30</v>
      </c>
      <c r="D274" s="675">
        <f>MIN(0.95, MAX(0.104,EXP(15175*(('III. Datos Entrada-BE'!C42+273)-303.16)/(1.987*('III. Datos Entrada-BE'!C42+273)*303.16))))</f>
        <v>0.104</v>
      </c>
      <c r="E274" s="620">
        <f t="shared" si="30"/>
        <v>0.52</v>
      </c>
      <c r="F274" s="675">
        <f>(E274*'III. Datos Entrada-BE'!H89*'III. Datos Entrada-BE'!$H$191*C274*0.8)+G274</f>
        <v>0</v>
      </c>
      <c r="G274" s="670">
        <f>IF('III. Datos Entrada-BE'!$E$164=B273,0,IF('III. Datos Entrada-BE'!$F$164=B273,0,IF('III. Datos Entrada-BE'!$G$164=B273,0,IF('III. Datos Entrada-BE'!$C$164="Sí",0,(F273-H273)))))</f>
        <v>0</v>
      </c>
      <c r="H274" s="668">
        <f t="shared" si="32"/>
        <v>0</v>
      </c>
      <c r="I274" s="668">
        <f>IF('III. Datos Entrada-BE'!D42=0,0,H274*'III. Datos Entrada-BE'!$C$125*0.717*0.001)*('III. Datos Entrada-BE'!G42/'III. Datos Entrada-BE'!E42)</f>
        <v>0</v>
      </c>
      <c r="J274" s="700">
        <f t="shared" si="31"/>
        <v>0</v>
      </c>
    </row>
    <row r="275" spans="2:17" ht="13" thickBot="1" x14ac:dyDescent="0.3">
      <c r="B275" s="553" t="str">
        <f>'III. Datos Entrada-BE'!$B$43</f>
        <v>diciembre</v>
      </c>
      <c r="C275" s="671">
        <f>'III. Datos Entrada-BE'!$E$43</f>
        <v>31</v>
      </c>
      <c r="D275" s="677">
        <f>MIN(0.95, MAX(0.104,EXP(15175*(('III. Datos Entrada-BE'!C43+273)-303.16)/(1.987*('III. Datos Entrada-BE'!C43+273)*303.16))))</f>
        <v>0.104</v>
      </c>
      <c r="E275" s="678">
        <f t="shared" si="30"/>
        <v>0.52</v>
      </c>
      <c r="F275" s="677">
        <f>(E275*'III. Datos Entrada-BE'!H90*'III. Datos Entrada-BE'!$H$191*C275*0.8)+G275</f>
        <v>0</v>
      </c>
      <c r="G275" s="670">
        <f>IF('III. Datos Entrada-BE'!$E$164=B274,0,IF('III. Datos Entrada-BE'!$F$164=B274,0,IF('III. Datos Entrada-BE'!$G$164=B274,0,IF('III. Datos Entrada-BE'!$C$164="Sí",0,(F274-H274)))))</f>
        <v>0</v>
      </c>
      <c r="H275" s="575">
        <f t="shared" si="32"/>
        <v>0</v>
      </c>
      <c r="I275" s="575">
        <f>IF('III. Datos Entrada-BE'!D43=0,0,H275*'III. Datos Entrada-BE'!$C$125*0.717*0.001)*('III. Datos Entrada-BE'!G43/'III. Datos Entrada-BE'!E43)</f>
        <v>0</v>
      </c>
      <c r="J275" s="700">
        <f t="shared" si="31"/>
        <v>0</v>
      </c>
    </row>
    <row r="276" spans="2:17" ht="13.5" thickBot="1" x14ac:dyDescent="0.35">
      <c r="B276" s="27" t="s">
        <v>166</v>
      </c>
      <c r="C276" s="504"/>
      <c r="D276" s="505"/>
      <c r="E276" s="505"/>
      <c r="F276" s="506"/>
      <c r="G276" s="507"/>
      <c r="H276" s="906">
        <f>SUM(H264:H275)</f>
        <v>0</v>
      </c>
      <c r="I276" s="376">
        <f>SUM(I264:I275)</f>
        <v>0</v>
      </c>
      <c r="J276" s="54">
        <f>SUM(J264:J275)</f>
        <v>0</v>
      </c>
    </row>
    <row r="277" spans="2:17" ht="13.5" thickBot="1" x14ac:dyDescent="0.35">
      <c r="B277" s="9"/>
      <c r="C277" s="70"/>
      <c r="D277" s="12"/>
      <c r="E277" s="12"/>
      <c r="F277" s="8"/>
      <c r="G277" s="8"/>
      <c r="H277" s="12"/>
      <c r="I277" s="12"/>
      <c r="J277" s="8"/>
    </row>
    <row r="278" spans="2:17" ht="31" customHeight="1" thickBot="1" x14ac:dyDescent="0.35">
      <c r="B278" s="1232" t="s">
        <v>928</v>
      </c>
      <c r="C278" s="1233"/>
      <c r="D278" s="1233"/>
      <c r="E278" s="1233"/>
      <c r="F278" s="1234"/>
      <c r="G278" s="456">
        <f>IF('III. Datos Entrada-BE'!C$164="Sí",0,IF('III. Datos Entrada-BE'!E$164=B275,0,IF('III. Datos Entrada-BE'!F$164='V. BE CH4-AS'!B275,0,IF('III. Datos Entrada-BE'!G$164='V. BE CH4-AS'!B275,0,F275-H275))))</f>
        <v>0</v>
      </c>
      <c r="H278" s="12"/>
      <c r="I278" s="12"/>
      <c r="J278" s="8"/>
    </row>
    <row r="279" spans="2:17" ht="128" thickBot="1" x14ac:dyDescent="0.35">
      <c r="G279" s="46" t="s">
        <v>927</v>
      </c>
      <c r="H279" s="12"/>
      <c r="I279" s="12"/>
      <c r="J279" s="8"/>
    </row>
    <row r="280" spans="2:17" s="9" customFormat="1" ht="13" x14ac:dyDescent="0.3">
      <c r="C280" s="70"/>
      <c r="D280" s="12"/>
      <c r="E280" s="12"/>
      <c r="F280" s="8"/>
      <c r="G280" s="8"/>
      <c r="H280" s="12"/>
      <c r="I280" s="12"/>
      <c r="J280" s="8"/>
      <c r="K280" s="38"/>
      <c r="L280" s="38"/>
      <c r="M280" s="39"/>
      <c r="N280" s="39"/>
      <c r="O280" s="22"/>
      <c r="Q280" s="38"/>
    </row>
    <row r="281" spans="2:17" ht="13" thickBot="1" x14ac:dyDescent="0.3">
      <c r="F281" s="14"/>
      <c r="G281" s="14"/>
      <c r="J281" s="14"/>
      <c r="K281" s="45"/>
      <c r="L281" s="45"/>
      <c r="M281" s="45"/>
      <c r="N281" s="44"/>
      <c r="O281" s="45"/>
      <c r="P281" s="44"/>
      <c r="Q281" s="44"/>
    </row>
    <row r="282" spans="2:17" ht="13" x14ac:dyDescent="0.3">
      <c r="B282" s="22"/>
      <c r="C282" s="26"/>
      <c r="E282" s="1083" t="s">
        <v>924</v>
      </c>
      <c r="F282" s="1109"/>
      <c r="G282" s="1109"/>
      <c r="H282" s="1109"/>
      <c r="I282" s="1109"/>
      <c r="J282" s="1110"/>
      <c r="K282" s="22"/>
      <c r="L282" s="22"/>
      <c r="M282" s="22"/>
      <c r="O282" s="10"/>
    </row>
    <row r="283" spans="2:17" ht="13.5" thickBot="1" x14ac:dyDescent="0.35">
      <c r="B283" s="9"/>
      <c r="C283" s="26"/>
      <c r="E283" s="1107"/>
      <c r="F283" s="1111"/>
      <c r="G283" s="1111"/>
      <c r="H283" s="1111"/>
      <c r="I283" s="1111"/>
      <c r="J283" s="1112"/>
      <c r="K283" s="22"/>
      <c r="L283" s="22"/>
      <c r="M283" s="22"/>
      <c r="O283" s="10"/>
    </row>
    <row r="284" spans="2:17" ht="52.5" thickBot="1" x14ac:dyDescent="0.35">
      <c r="B284" s="23" t="str">
        <f>B260</f>
        <v>Terneros (en lechero, en pastos/pastizales) 
Calves (on milk, in pasture/rangeland)</v>
      </c>
      <c r="C284" s="24">
        <f>'III. Datos Entrada-BE'!B137</f>
        <v>0</v>
      </c>
      <c r="D284" s="25"/>
      <c r="E284" s="1113"/>
      <c r="F284" s="1114"/>
      <c r="G284" s="1114"/>
      <c r="H284" s="1114"/>
      <c r="I284" s="1114"/>
      <c r="J284" s="1115"/>
      <c r="K284" s="22"/>
      <c r="L284" s="22"/>
      <c r="M284" s="22"/>
      <c r="O284" s="10"/>
    </row>
    <row r="285" spans="2:17" ht="15" x14ac:dyDescent="0.4">
      <c r="B285" s="574" t="s">
        <v>158</v>
      </c>
      <c r="C285" s="666">
        <f>C261</f>
        <v>0.52</v>
      </c>
      <c r="E285" s="8"/>
      <c r="F285" s="12"/>
      <c r="G285" s="12"/>
      <c r="H285" s="12"/>
      <c r="I285" s="12"/>
      <c r="J285" s="12"/>
      <c r="K285" s="20"/>
      <c r="L285" s="20"/>
      <c r="M285" s="20"/>
    </row>
    <row r="286" spans="2:17" ht="13.5" thickBot="1" x14ac:dyDescent="0.35">
      <c r="B286" s="69"/>
      <c r="C286" s="420"/>
      <c r="E286" s="8"/>
      <c r="F286" s="12"/>
      <c r="G286" s="12"/>
      <c r="H286" s="12"/>
      <c r="I286" s="12"/>
      <c r="J286" s="12"/>
      <c r="K286" s="45"/>
      <c r="L286" s="45"/>
      <c r="O286" s="10"/>
      <c r="P286" s="18"/>
    </row>
    <row r="287" spans="2:17" ht="27.5" thickBot="1" x14ac:dyDescent="0.45">
      <c r="B287" s="905" t="s">
        <v>442</v>
      </c>
      <c r="C287" s="269" t="s">
        <v>922</v>
      </c>
      <c r="D287" s="59" t="s">
        <v>159</v>
      </c>
      <c r="E287" s="60" t="s">
        <v>160</v>
      </c>
      <c r="F287" s="61" t="s">
        <v>161</v>
      </c>
      <c r="G287" s="60" t="s">
        <v>162</v>
      </c>
      <c r="H287" s="61" t="s">
        <v>163</v>
      </c>
      <c r="I287" s="62" t="s">
        <v>164</v>
      </c>
      <c r="J287" s="63" t="s">
        <v>165</v>
      </c>
    </row>
    <row r="288" spans="2:17" ht="13" thickBot="1" x14ac:dyDescent="0.3">
      <c r="B288" s="29" t="str">
        <f>'III. Datos Entrada-BE'!$B$32</f>
        <v>enero</v>
      </c>
      <c r="C288" s="416">
        <f>'III. Datos Entrada-BE'!$E$32</f>
        <v>31</v>
      </c>
      <c r="D288" s="50">
        <f>MIN(0.95, MAX(0.104,EXP(15175*(('III. Datos Entrada-BE'!C32+273)-303.16)/(1.987*('III. Datos Entrada-BE'!C32+273)*303.16))))</f>
        <v>0.104</v>
      </c>
      <c r="E288" s="51">
        <f t="shared" ref="E288:E299" si="33">$C$285</f>
        <v>0.52</v>
      </c>
      <c r="F288" s="50">
        <f>(E288*'III. Datos Entrada-BE'!H79*'III. Datos Entrada-BE'!$H$192*C288*0.8)+G288</f>
        <v>0</v>
      </c>
      <c r="G288" s="32"/>
      <c r="H288" s="31">
        <f>F288*D288</f>
        <v>0</v>
      </c>
      <c r="I288" s="31">
        <f>IF('III. Datos Entrada-BE'!D32=0,0,H288*'III. Datos Entrada-BE'!$C$125*0.717*0.001)*('III. Datos Entrada-BE'!G32/'III. Datos Entrada-BE'!E32)</f>
        <v>0</v>
      </c>
      <c r="J288" s="700">
        <f t="shared" ref="J288:J299" si="34">I288*PCG</f>
        <v>0</v>
      </c>
    </row>
    <row r="289" spans="1:94" ht="13" thickBot="1" x14ac:dyDescent="0.3">
      <c r="B289" s="529" t="str">
        <f>'III. Datos Entrada-BE'!$B$33</f>
        <v>febrero</v>
      </c>
      <c r="C289" s="667">
        <f>'III. Datos Entrada-BE'!$E$33</f>
        <v>28</v>
      </c>
      <c r="D289" s="675">
        <f>MIN(0.95, MAX(0.104,EXP(15175*(('III. Datos Entrada-BE'!C33+273)-303.16)/(1.987*('III. Datos Entrada-BE'!C33+273)*303.16))))</f>
        <v>0.104</v>
      </c>
      <c r="E289" s="620">
        <f t="shared" si="33"/>
        <v>0.52</v>
      </c>
      <c r="F289" s="675">
        <f>(E289*'III. Datos Entrada-BE'!H80*'III. Datos Entrada-BE'!$H$192*C289*0.8)+G289</f>
        <v>0</v>
      </c>
      <c r="G289" s="670">
        <f>IF('III. Datos Entrada-BE'!$E$165=B288,0,IF('III. Datos Entrada-BE'!$F$165=B288,0,IF('III. Datos Entrada-BE'!$G$165=B288,0,IF('III. Datos Entrada-BE'!$C$165="Sí",0,(F288-H288)))))</f>
        <v>0</v>
      </c>
      <c r="H289" s="668">
        <f t="shared" ref="H289:H299" si="35">F289*D289</f>
        <v>0</v>
      </c>
      <c r="I289" s="668">
        <f>IF('III. Datos Entrada-BE'!D33=0,0,H289*'III. Datos Entrada-BE'!$C$125*0.717*0.001)*('III. Datos Entrada-BE'!G33/'III. Datos Entrada-BE'!E33)</f>
        <v>0</v>
      </c>
      <c r="J289" s="700">
        <f t="shared" si="34"/>
        <v>0</v>
      </c>
    </row>
    <row r="290" spans="1:94" ht="13" thickBot="1" x14ac:dyDescent="0.3">
      <c r="B290" s="529" t="str">
        <f>'III. Datos Entrada-BE'!$B$34</f>
        <v>marzo</v>
      </c>
      <c r="C290" s="667">
        <f>'III. Datos Entrada-BE'!$E$34</f>
        <v>31</v>
      </c>
      <c r="D290" s="675">
        <f>MIN(0.95, MAX(0.104,EXP(15175*(('III. Datos Entrada-BE'!C34+273)-303.16)/(1.987*('III. Datos Entrada-BE'!C34+273)*303.16))))</f>
        <v>0.104</v>
      </c>
      <c r="E290" s="620">
        <f t="shared" si="33"/>
        <v>0.52</v>
      </c>
      <c r="F290" s="675">
        <f>(E290*'III. Datos Entrada-BE'!H81*'III. Datos Entrada-BE'!$H$192*C290*0.8)+G290</f>
        <v>0</v>
      </c>
      <c r="G290" s="670">
        <f>IF('III. Datos Entrada-BE'!$E$165=B289,0,IF('III. Datos Entrada-BE'!$F$165=B289,0,IF('III. Datos Entrada-BE'!$G$165=B289,0,IF('III. Datos Entrada-BE'!$C$165="Sí",0,(F289-H289)))))</f>
        <v>0</v>
      </c>
      <c r="H290" s="668">
        <f t="shared" si="35"/>
        <v>0</v>
      </c>
      <c r="I290" s="668">
        <f>IF('III. Datos Entrada-BE'!D34=0,0,H290*'III. Datos Entrada-BE'!$C$125*0.717*0.001)*('III. Datos Entrada-BE'!G34/'III. Datos Entrada-BE'!E34)</f>
        <v>0</v>
      </c>
      <c r="J290" s="700">
        <f t="shared" si="34"/>
        <v>0</v>
      </c>
    </row>
    <row r="291" spans="1:94" ht="13" thickBot="1" x14ac:dyDescent="0.3">
      <c r="B291" s="529" t="str">
        <f>'III. Datos Entrada-BE'!$B$35</f>
        <v>abril</v>
      </c>
      <c r="C291" s="667">
        <f>'III. Datos Entrada-BE'!$E$35</f>
        <v>30</v>
      </c>
      <c r="D291" s="675">
        <f>MIN(0.95, MAX(0.104,EXP(15175*(('III. Datos Entrada-BE'!C35+273)-303.16)/(1.987*('III. Datos Entrada-BE'!C35+273)*303.16))))</f>
        <v>0.104</v>
      </c>
      <c r="E291" s="620">
        <f t="shared" si="33"/>
        <v>0.52</v>
      </c>
      <c r="F291" s="675">
        <f>(E291*'III. Datos Entrada-BE'!H82*'III. Datos Entrada-BE'!$H$192*C291*0.8)+G291</f>
        <v>0</v>
      </c>
      <c r="G291" s="670">
        <f>IF('III. Datos Entrada-BE'!$E$165=B290,0,IF('III. Datos Entrada-BE'!$F$165=B290,0,IF('III. Datos Entrada-BE'!$G$165=B290,0,IF('III. Datos Entrada-BE'!$C$165="Sí",0,(F290-H290)))))</f>
        <v>0</v>
      </c>
      <c r="H291" s="668">
        <f t="shared" si="35"/>
        <v>0</v>
      </c>
      <c r="I291" s="668">
        <f>IF('III. Datos Entrada-BE'!D35=0,0,H291*'III. Datos Entrada-BE'!$C$125*0.717*0.001)*('III. Datos Entrada-BE'!G35/'III. Datos Entrada-BE'!E35)</f>
        <v>0</v>
      </c>
      <c r="J291" s="700">
        <f t="shared" si="34"/>
        <v>0</v>
      </c>
    </row>
    <row r="292" spans="1:94" ht="13" thickBot="1" x14ac:dyDescent="0.3">
      <c r="B292" s="529" t="str">
        <f>'III. Datos Entrada-BE'!$B$36</f>
        <v>mayo</v>
      </c>
      <c r="C292" s="667">
        <f>'III. Datos Entrada-BE'!$E$36</f>
        <v>31</v>
      </c>
      <c r="D292" s="675">
        <f>MIN(0.95, MAX(0.104,EXP(15175*(('III. Datos Entrada-BE'!C36+273)-303.16)/(1.987*('III. Datos Entrada-BE'!C36+273)*303.16))))</f>
        <v>0.104</v>
      </c>
      <c r="E292" s="620">
        <f t="shared" si="33"/>
        <v>0.52</v>
      </c>
      <c r="F292" s="675">
        <f>(E292*'III. Datos Entrada-BE'!H83*'III. Datos Entrada-BE'!$H$192*C292*0.8)+G292</f>
        <v>0</v>
      </c>
      <c r="G292" s="670">
        <f>IF('III. Datos Entrada-BE'!$E$165=B291,0,IF('III. Datos Entrada-BE'!$F$165=B291,0,IF('III. Datos Entrada-BE'!$G$165=B291,0,IF('III. Datos Entrada-BE'!$C$165="Sí",0,(F291-H291)))))</f>
        <v>0</v>
      </c>
      <c r="H292" s="668">
        <f t="shared" si="35"/>
        <v>0</v>
      </c>
      <c r="I292" s="668">
        <f>IF('III. Datos Entrada-BE'!D36=0,0,H292*'III. Datos Entrada-BE'!$C$125*0.717*0.001)*('III. Datos Entrada-BE'!G36/'III. Datos Entrada-BE'!E36)</f>
        <v>0</v>
      </c>
      <c r="J292" s="700">
        <f t="shared" si="34"/>
        <v>0</v>
      </c>
    </row>
    <row r="293" spans="1:94" ht="13" thickBot="1" x14ac:dyDescent="0.3">
      <c r="B293" s="529" t="str">
        <f>'III. Datos Entrada-BE'!$B$37</f>
        <v>junio</v>
      </c>
      <c r="C293" s="667">
        <f>'III. Datos Entrada-BE'!$E$37</f>
        <v>30</v>
      </c>
      <c r="D293" s="675">
        <f>MIN(0.95, MAX(0.104,EXP(15175*(('III. Datos Entrada-BE'!C37+273)-303.16)/(1.987*('III. Datos Entrada-BE'!C37+273)*303.16))))</f>
        <v>0.104</v>
      </c>
      <c r="E293" s="620">
        <f t="shared" si="33"/>
        <v>0.52</v>
      </c>
      <c r="F293" s="675">
        <f>(E293*'III. Datos Entrada-BE'!H84*'III. Datos Entrada-BE'!$H$192*C293*0.8)+G293</f>
        <v>0</v>
      </c>
      <c r="G293" s="670">
        <f>IF('III. Datos Entrada-BE'!$E$165=B292,0,IF('III. Datos Entrada-BE'!$F$165=B292,0,IF('III. Datos Entrada-BE'!$G$165=B292,0,IF('III. Datos Entrada-BE'!$C$165="Sí",0,(F292-H292)))))</f>
        <v>0</v>
      </c>
      <c r="H293" s="668">
        <f t="shared" si="35"/>
        <v>0</v>
      </c>
      <c r="I293" s="668">
        <f>IF('III. Datos Entrada-BE'!D37=0,0,H293*'III. Datos Entrada-BE'!$C$125*0.717*0.001)*('III. Datos Entrada-BE'!G37/'III. Datos Entrada-BE'!E37)</f>
        <v>0</v>
      </c>
      <c r="J293" s="700">
        <f t="shared" si="34"/>
        <v>0</v>
      </c>
    </row>
    <row r="294" spans="1:94" s="9" customFormat="1" ht="13.5" thickBot="1" x14ac:dyDescent="0.35">
      <c r="B294" s="529" t="str">
        <f>'III. Datos Entrada-BE'!$B$38</f>
        <v>julio</v>
      </c>
      <c r="C294" s="667">
        <f>'III. Datos Entrada-BE'!$E$38</f>
        <v>31</v>
      </c>
      <c r="D294" s="675">
        <f>MIN(0.95, MAX(0.104,EXP(15175*(('III. Datos Entrada-BE'!C38+273)-303.16)/(1.987*('III. Datos Entrada-BE'!C38+273)*303.16))))</f>
        <v>0.104</v>
      </c>
      <c r="E294" s="620">
        <f t="shared" si="33"/>
        <v>0.52</v>
      </c>
      <c r="F294" s="675">
        <f>(E294*'III. Datos Entrada-BE'!H85*'III. Datos Entrada-BE'!$H$192*C294*0.8)+G294</f>
        <v>0</v>
      </c>
      <c r="G294" s="670">
        <f>IF('III. Datos Entrada-BE'!$E$165=B293,0,IF('III. Datos Entrada-BE'!$F$165=B293,0,IF('III. Datos Entrada-BE'!$G$165=B293,0,IF('III. Datos Entrada-BE'!$C$165="Sí",0,(F293-H293)))))</f>
        <v>0</v>
      </c>
      <c r="H294" s="668">
        <f t="shared" si="35"/>
        <v>0</v>
      </c>
      <c r="I294" s="668">
        <f>IF('III. Datos Entrada-BE'!D38=0,0,H294*'III. Datos Entrada-BE'!$C$125*0.717*0.001)*('III. Datos Entrada-BE'!G38/'III. Datos Entrada-BE'!E38)</f>
        <v>0</v>
      </c>
      <c r="J294" s="700">
        <f t="shared" si="34"/>
        <v>0</v>
      </c>
      <c r="K294" s="38"/>
      <c r="L294" s="38"/>
      <c r="M294" s="39"/>
    </row>
    <row r="295" spans="1:94" ht="13" thickBot="1" x14ac:dyDescent="0.3">
      <c r="B295" s="529" t="str">
        <f>'III. Datos Entrada-BE'!$B$39</f>
        <v>agosto</v>
      </c>
      <c r="C295" s="667">
        <f>'III. Datos Entrada-BE'!$E$39</f>
        <v>31</v>
      </c>
      <c r="D295" s="675">
        <f>MIN(0.95, MAX(0.104,EXP(15175*(('III. Datos Entrada-BE'!C39+273)-303.16)/(1.987*('III. Datos Entrada-BE'!C39+273)*303.16))))</f>
        <v>0.104</v>
      </c>
      <c r="E295" s="620">
        <f t="shared" si="33"/>
        <v>0.52</v>
      </c>
      <c r="F295" s="675">
        <f>(E295*'III. Datos Entrada-BE'!H86*'III. Datos Entrada-BE'!$H$192*C295*0.8)+G295</f>
        <v>0</v>
      </c>
      <c r="G295" s="670">
        <f>IF('III. Datos Entrada-BE'!$E$165=B294,0,IF('III. Datos Entrada-BE'!$F$165=B294,0,IF('III. Datos Entrada-BE'!$G$165=B294,0,IF('III. Datos Entrada-BE'!$C$165="Sí",0,(F294-H294)))))</f>
        <v>0</v>
      </c>
      <c r="H295" s="668">
        <f t="shared" si="35"/>
        <v>0</v>
      </c>
      <c r="I295" s="668">
        <f>IF('III. Datos Entrada-BE'!D39=0,0,H295*'III. Datos Entrada-BE'!$C$125*0.717*0.001)*('III. Datos Entrada-BE'!G39/'III. Datos Entrada-BE'!E39)</f>
        <v>0</v>
      </c>
      <c r="J295" s="700">
        <f t="shared" si="34"/>
        <v>0</v>
      </c>
    </row>
    <row r="296" spans="1:94" ht="13.5" thickBot="1" x14ac:dyDescent="0.35">
      <c r="B296" s="529" t="str">
        <f>'III. Datos Entrada-BE'!$B$40</f>
        <v>septiembre</v>
      </c>
      <c r="C296" s="667">
        <f>'III. Datos Entrada-BE'!$E$40</f>
        <v>30</v>
      </c>
      <c r="D296" s="675">
        <f>MIN(0.95, MAX(0.104,EXP(15175*(('III. Datos Entrada-BE'!C40+273)-303.16)/(1.987*('III. Datos Entrada-BE'!C40+273)*303.16))))</f>
        <v>0.104</v>
      </c>
      <c r="E296" s="620">
        <f t="shared" si="33"/>
        <v>0.52</v>
      </c>
      <c r="F296" s="675">
        <f>(E296*'III. Datos Entrada-BE'!H87*'III. Datos Entrada-BE'!$H$192*C296*0.8)+G296</f>
        <v>0</v>
      </c>
      <c r="G296" s="670">
        <f>IF('III. Datos Entrada-BE'!$E$165=B295,0,IF('III. Datos Entrada-BE'!$F$165=B295,0,IF('III. Datos Entrada-BE'!$G$165=B295,0,IF('III. Datos Entrada-BE'!$C$165="Sí",0,(F295-H295)))))</f>
        <v>0</v>
      </c>
      <c r="H296" s="668">
        <f t="shared" si="35"/>
        <v>0</v>
      </c>
      <c r="I296" s="668">
        <f>IF('III. Datos Entrada-BE'!D40=0,0,H296*'III. Datos Entrada-BE'!$C$125*0.717*0.001)*('III. Datos Entrada-BE'!G40/'III. Datos Entrada-BE'!E40)</f>
        <v>0</v>
      </c>
      <c r="J296" s="700">
        <f t="shared" si="34"/>
        <v>0</v>
      </c>
      <c r="K296" s="22"/>
      <c r="L296" s="22"/>
      <c r="M296" s="22"/>
      <c r="O296" s="22"/>
      <c r="P296" s="20"/>
      <c r="Q296" s="20"/>
      <c r="R296" s="20"/>
    </row>
    <row r="297" spans="1:94" ht="13.5" thickBot="1" x14ac:dyDescent="0.35">
      <c r="B297" s="529" t="str">
        <f>'III. Datos Entrada-BE'!$B$41</f>
        <v>octubre</v>
      </c>
      <c r="C297" s="667">
        <f>'III. Datos Entrada-BE'!$E$41</f>
        <v>31</v>
      </c>
      <c r="D297" s="675">
        <f>MIN(0.95, MAX(0.104,EXP(15175*(('III. Datos Entrada-BE'!C41+273)-303.16)/(1.987*('III. Datos Entrada-BE'!C41+273)*303.16))))</f>
        <v>0.104</v>
      </c>
      <c r="E297" s="620">
        <f t="shared" si="33"/>
        <v>0.52</v>
      </c>
      <c r="F297" s="675">
        <f>(E297*'III. Datos Entrada-BE'!H88*'III. Datos Entrada-BE'!$H$192*C297*0.8)+G297</f>
        <v>0</v>
      </c>
      <c r="G297" s="670">
        <f>IF('III. Datos Entrada-BE'!$E$165=B296,0,IF('III. Datos Entrada-BE'!$F$165=B296,0,IF('III. Datos Entrada-BE'!$G$165=B296,0,IF('III. Datos Entrada-BE'!$C$165="Sí",0,(F296-H296)))))</f>
        <v>0</v>
      </c>
      <c r="H297" s="668">
        <f t="shared" si="35"/>
        <v>0</v>
      </c>
      <c r="I297" s="668">
        <f>IF('III. Datos Entrada-BE'!D41=0,0,H297*'III. Datos Entrada-BE'!$C$125*0.717*0.001)*('III. Datos Entrada-BE'!G41/'III. Datos Entrada-BE'!E41)</f>
        <v>0</v>
      </c>
      <c r="J297" s="700">
        <f t="shared" si="34"/>
        <v>0</v>
      </c>
      <c r="K297" s="22"/>
      <c r="L297" s="22"/>
      <c r="M297" s="22"/>
      <c r="O297" s="22"/>
      <c r="P297" s="20"/>
      <c r="Q297" s="20"/>
      <c r="R297" s="20"/>
    </row>
    <row r="298" spans="1:94" ht="13.5" thickBot="1" x14ac:dyDescent="0.35">
      <c r="B298" s="529" t="str">
        <f>'III. Datos Entrada-BE'!$B$42</f>
        <v>noviembre</v>
      </c>
      <c r="C298" s="667">
        <f>'III. Datos Entrada-BE'!$E$42</f>
        <v>30</v>
      </c>
      <c r="D298" s="675">
        <f>MIN(0.95, MAX(0.104,EXP(15175*(('III. Datos Entrada-BE'!C42+273)-303.16)/(1.987*('III. Datos Entrada-BE'!C42+273)*303.16))))</f>
        <v>0.104</v>
      </c>
      <c r="E298" s="620">
        <f t="shared" si="33"/>
        <v>0.52</v>
      </c>
      <c r="F298" s="675">
        <f>(E298*'III. Datos Entrada-BE'!H89*'III. Datos Entrada-BE'!$H$192*C298*0.8)+G298</f>
        <v>0</v>
      </c>
      <c r="G298" s="670">
        <f>IF('III. Datos Entrada-BE'!$E$165=B297,0,IF('III. Datos Entrada-BE'!$F$165=B297,0,IF('III. Datos Entrada-BE'!$G$165=B297,0,IF('III. Datos Entrada-BE'!$C$165="Sí",0,(F297-H297)))))</f>
        <v>0</v>
      </c>
      <c r="H298" s="668">
        <f t="shared" si="35"/>
        <v>0</v>
      </c>
      <c r="I298" s="668">
        <f>IF('III. Datos Entrada-BE'!D42=0,0,H298*'III. Datos Entrada-BE'!$C$125*0.717*0.001)*('III. Datos Entrada-BE'!G42/'III. Datos Entrada-BE'!E42)</f>
        <v>0</v>
      </c>
      <c r="J298" s="700">
        <f t="shared" si="34"/>
        <v>0</v>
      </c>
      <c r="K298" s="22"/>
      <c r="L298" s="22"/>
      <c r="M298" s="22"/>
      <c r="O298" s="22"/>
      <c r="P298" s="20"/>
      <c r="Q298" s="20"/>
      <c r="R298" s="20"/>
    </row>
    <row r="299" spans="1:94" ht="13" thickBot="1" x14ac:dyDescent="0.3">
      <c r="B299" s="553" t="str">
        <f>'III. Datos Entrada-BE'!$B$43</f>
        <v>diciembre</v>
      </c>
      <c r="C299" s="671">
        <f>'III. Datos Entrada-BE'!$E$43</f>
        <v>31</v>
      </c>
      <c r="D299" s="677">
        <f>MIN(0.95, MAX(0.104,EXP(15175*(('III. Datos Entrada-BE'!C43+273)-303.16)/(1.987*('III. Datos Entrada-BE'!C43+273)*303.16))))</f>
        <v>0.104</v>
      </c>
      <c r="E299" s="678">
        <f t="shared" si="33"/>
        <v>0.52</v>
      </c>
      <c r="F299" s="677">
        <f>(E299*'III. Datos Entrada-BE'!H90*'III. Datos Entrada-BE'!$H$192*C299*0.8)+G299</f>
        <v>0</v>
      </c>
      <c r="G299" s="670">
        <f>IF('III. Datos Entrada-BE'!$E$165=B298,0,IF('III. Datos Entrada-BE'!$F$165=B298,0,IF('III. Datos Entrada-BE'!$G$165=B298,0,IF('III. Datos Entrada-BE'!$C$165="Sí",0,(F298-H298)))))</f>
        <v>0</v>
      </c>
      <c r="H299" s="575">
        <f t="shared" si="35"/>
        <v>0</v>
      </c>
      <c r="I299" s="575">
        <f>IF('III. Datos Entrada-BE'!D43=0,0,H299*'III. Datos Entrada-BE'!$C$125*0.717*0.001)*('III. Datos Entrada-BE'!G43/'III. Datos Entrada-BE'!E43)</f>
        <v>0</v>
      </c>
      <c r="J299" s="700">
        <f t="shared" si="34"/>
        <v>0</v>
      </c>
      <c r="K299" s="20"/>
      <c r="L299" s="20"/>
      <c r="M299" s="20"/>
    </row>
    <row r="300" spans="1:94" ht="13.5" thickBot="1" x14ac:dyDescent="0.35">
      <c r="B300" s="27" t="s">
        <v>166</v>
      </c>
      <c r="C300" s="504"/>
      <c r="D300" s="505"/>
      <c r="E300" s="505"/>
      <c r="F300" s="506"/>
      <c r="G300" s="507"/>
      <c r="H300" s="35">
        <f>SUM(H288:H299)</f>
        <v>0</v>
      </c>
      <c r="I300" s="36">
        <f>SUM(I288:I299)</f>
        <v>0</v>
      </c>
      <c r="J300" s="67">
        <f>SUM(J288:J299)</f>
        <v>0</v>
      </c>
      <c r="K300" s="45"/>
      <c r="L300" s="45"/>
    </row>
    <row r="301" spans="1:94" ht="13.5" thickBot="1" x14ac:dyDescent="0.35">
      <c r="B301" s="9"/>
      <c r="C301" s="70"/>
      <c r="D301" s="12"/>
      <c r="E301" s="12"/>
      <c r="F301" s="8"/>
      <c r="G301" s="8"/>
      <c r="H301" s="12"/>
      <c r="I301" s="12"/>
      <c r="J301" s="8"/>
      <c r="K301" s="45"/>
      <c r="L301" s="45"/>
    </row>
    <row r="302" spans="1:94" s="49" customFormat="1" ht="30.5" customHeight="1" thickBot="1" x14ac:dyDescent="0.35">
      <c r="A302" s="2"/>
      <c r="B302" s="1232" t="s">
        <v>928</v>
      </c>
      <c r="C302" s="1233"/>
      <c r="D302" s="1233"/>
      <c r="E302" s="1233"/>
      <c r="F302" s="1234"/>
      <c r="G302" s="456">
        <f>IF('III. Datos Entrada-BE'!C$165="Sí",0,IF('III. Datos Entrada-BE'!E$165=B299,0,IF('III. Datos Entrada-BE'!F$165='V. BE CH4-AS'!B299,0,IF('III. Datos Entrada-BE'!G$165='V. BE CH4-AS'!B299,0,F299-H299))))</f>
        <v>0</v>
      </c>
      <c r="H302" s="12"/>
      <c r="I302" s="12"/>
      <c r="J302" s="8"/>
      <c r="K302" s="45"/>
      <c r="L302" s="45"/>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row>
    <row r="303" spans="1:94" ht="128" thickBot="1" x14ac:dyDescent="0.35">
      <c r="G303" s="46" t="s">
        <v>927</v>
      </c>
      <c r="H303" s="12"/>
      <c r="I303" s="12"/>
      <c r="J303" s="8"/>
      <c r="K303" s="45"/>
      <c r="L303" s="45"/>
    </row>
    <row r="304" spans="1:94" ht="13" x14ac:dyDescent="0.3">
      <c r="B304" s="9"/>
      <c r="C304" s="70"/>
      <c r="D304" s="12"/>
      <c r="E304" s="12"/>
      <c r="F304" s="8"/>
      <c r="G304" s="8"/>
      <c r="H304" s="12"/>
      <c r="I304" s="12"/>
      <c r="J304" s="8"/>
      <c r="K304" s="45"/>
      <c r="L304" s="45"/>
    </row>
    <row r="305" spans="2:16" ht="13.5" thickBot="1" x14ac:dyDescent="0.35">
      <c r="B305" s="9"/>
      <c r="C305" s="53"/>
    </row>
    <row r="306" spans="2:16" ht="13" x14ac:dyDescent="0.3">
      <c r="B306" s="9"/>
      <c r="C306" s="53"/>
      <c r="E306" s="1083" t="s">
        <v>924</v>
      </c>
      <c r="F306" s="1109"/>
      <c r="G306" s="1109"/>
      <c r="H306" s="1109"/>
      <c r="I306" s="1109"/>
      <c r="J306" s="1110"/>
    </row>
    <row r="307" spans="2:16" ht="13" x14ac:dyDescent="0.3">
      <c r="B307" s="9"/>
      <c r="C307" s="53"/>
      <c r="E307" s="1107"/>
      <c r="F307" s="1111"/>
      <c r="G307" s="1111"/>
      <c r="H307" s="1111"/>
      <c r="I307" s="1111"/>
      <c r="J307" s="1112"/>
    </row>
    <row r="308" spans="2:16" ht="13.5" thickBot="1" x14ac:dyDescent="0.35">
      <c r="B308" s="9"/>
      <c r="C308" s="53"/>
      <c r="E308" s="1113"/>
      <c r="F308" s="1114"/>
      <c r="G308" s="1114"/>
      <c r="H308" s="1114"/>
      <c r="I308" s="1114"/>
      <c r="J308" s="1115"/>
    </row>
    <row r="309" spans="2:16" ht="13.5" thickBot="1" x14ac:dyDescent="0.35">
      <c r="B309" s="9"/>
      <c r="C309" s="53"/>
    </row>
    <row r="310" spans="2:16" ht="52" x14ac:dyDescent="0.3">
      <c r="B310" s="23" t="str">
        <f>'III. Datos Entrada-BE'!C59</f>
        <v>Novillas y novillos (en pastos/pastizales)
Heifers and Steers (in pasture/rangeland)</v>
      </c>
      <c r="C310" s="24">
        <f>'III. Datos Entrada-BE'!B136</f>
        <v>0</v>
      </c>
      <c r="D310" s="25"/>
      <c r="E310" s="12"/>
      <c r="F310" s="12"/>
      <c r="G310" s="12"/>
      <c r="H310" s="12"/>
      <c r="I310" s="12"/>
      <c r="J310" s="12"/>
    </row>
    <row r="311" spans="2:16" ht="15" x14ac:dyDescent="0.4">
      <c r="B311" s="574" t="s">
        <v>168</v>
      </c>
      <c r="C311" s="666">
        <f>'III. Datos Entrada-BE'!D110</f>
        <v>2.86</v>
      </c>
      <c r="E311" s="8"/>
      <c r="F311" s="12"/>
      <c r="G311" s="12"/>
      <c r="H311" s="12"/>
      <c r="I311" s="12"/>
      <c r="J311" s="12"/>
    </row>
    <row r="312" spans="2:16" ht="13.5" thickBot="1" x14ac:dyDescent="0.35">
      <c r="B312" s="69"/>
      <c r="C312" s="420"/>
      <c r="E312" s="8"/>
      <c r="F312" s="12"/>
      <c r="G312" s="12"/>
      <c r="H312" s="12"/>
      <c r="I312" s="12"/>
      <c r="J312" s="12"/>
    </row>
    <row r="313" spans="2:16" ht="27.5" thickBot="1" x14ac:dyDescent="0.45">
      <c r="B313" s="905" t="s">
        <v>442</v>
      </c>
      <c r="C313" s="269" t="s">
        <v>922</v>
      </c>
      <c r="D313" s="59" t="s">
        <v>159</v>
      </c>
      <c r="E313" s="60" t="s">
        <v>160</v>
      </c>
      <c r="F313" s="61" t="s">
        <v>161</v>
      </c>
      <c r="G313" s="60" t="s">
        <v>162</v>
      </c>
      <c r="H313" s="61" t="s">
        <v>163</v>
      </c>
      <c r="I313" s="62" t="s">
        <v>164</v>
      </c>
      <c r="J313" s="63" t="s">
        <v>165</v>
      </c>
    </row>
    <row r="314" spans="2:16" ht="13.5" thickBot="1" x14ac:dyDescent="0.35">
      <c r="B314" s="29" t="str">
        <f>'III. Datos Entrada-BE'!$B$32</f>
        <v>enero</v>
      </c>
      <c r="C314" s="416">
        <f>'III. Datos Entrada-BE'!$E$32</f>
        <v>31</v>
      </c>
      <c r="D314" s="50">
        <f>MIN(0.95, MAX(0.104,EXP(15175*(('III. Datos Entrada-BE'!C32+273)-303.16)/(1.987*('III. Datos Entrada-BE'!C32+273)*303.16))))</f>
        <v>0.104</v>
      </c>
      <c r="E314" s="51">
        <f t="shared" ref="E314:E325" si="36">$C$311</f>
        <v>2.86</v>
      </c>
      <c r="F314" s="50">
        <f>(E314*'III. Datos Entrada-BE'!I79*'III. Datos Entrada-BE'!$I$191*C314*0.8)+G314</f>
        <v>0</v>
      </c>
      <c r="G314" s="32"/>
      <c r="H314" s="31">
        <f>F314*D314</f>
        <v>0</v>
      </c>
      <c r="I314" s="31">
        <f>IF('III. Datos Entrada-BE'!D32=0,0,H314*'III. Datos Entrada-BE'!$C$126*0.717*0.001)*('III. Datos Entrada-BE'!G32/'III. Datos Entrada-BE'!E32)</f>
        <v>0</v>
      </c>
      <c r="J314" s="700">
        <f t="shared" ref="J314:J325" si="37">I314*PCG</f>
        <v>0</v>
      </c>
      <c r="K314" s="22"/>
      <c r="L314" s="22"/>
      <c r="M314" s="22"/>
      <c r="O314" s="10"/>
    </row>
    <row r="315" spans="2:16" ht="13.5" thickBot="1" x14ac:dyDescent="0.35">
      <c r="B315" s="529" t="str">
        <f>'III. Datos Entrada-BE'!$B$33</f>
        <v>febrero</v>
      </c>
      <c r="C315" s="667">
        <f>'III. Datos Entrada-BE'!$E$33</f>
        <v>28</v>
      </c>
      <c r="D315" s="675">
        <f>MIN(0.95, MAX(0.104,EXP(15175*(('III. Datos Entrada-BE'!C33+273)-303.16)/(1.987*('III. Datos Entrada-BE'!C33+273)*303.16))))</f>
        <v>0.104</v>
      </c>
      <c r="E315" s="620">
        <f t="shared" si="36"/>
        <v>2.86</v>
      </c>
      <c r="F315" s="675">
        <f>(E315*'III. Datos Entrada-BE'!I80*'III. Datos Entrada-BE'!$I$191*C315*0.8)+G315</f>
        <v>0</v>
      </c>
      <c r="G315" s="670">
        <f>IF('III. Datos Entrada-BE'!$E$164=B314,0,IF('III. Datos Entrada-BE'!$F$164=B314,0,IF('III. Datos Entrada-BE'!$G$164=B314,0,IF('III. Datos Entrada-BE'!$C$164="Sí",0,(F314-H314)))))</f>
        <v>0</v>
      </c>
      <c r="H315" s="668">
        <f t="shared" ref="H315:H325" si="38">F315*D315</f>
        <v>0</v>
      </c>
      <c r="I315" s="668">
        <f>IF('III. Datos Entrada-BE'!D33=0,0,H315*'III. Datos Entrada-BE'!$C$126*0.717*0.001)*('III. Datos Entrada-BE'!G33/'III. Datos Entrada-BE'!E33)</f>
        <v>0</v>
      </c>
      <c r="J315" s="700">
        <f t="shared" si="37"/>
        <v>0</v>
      </c>
      <c r="K315" s="22"/>
      <c r="L315" s="22"/>
      <c r="M315" s="22"/>
      <c r="O315" s="10"/>
    </row>
    <row r="316" spans="2:16" ht="13.5" thickBot="1" x14ac:dyDescent="0.35">
      <c r="B316" s="529" t="str">
        <f>'III. Datos Entrada-BE'!$B$34</f>
        <v>marzo</v>
      </c>
      <c r="C316" s="667">
        <f>'III. Datos Entrada-BE'!$E$34</f>
        <v>31</v>
      </c>
      <c r="D316" s="675">
        <f>MIN(0.95, MAX(0.104,EXP(15175*(('III. Datos Entrada-BE'!C34+273)-303.16)/(1.987*('III. Datos Entrada-BE'!C34+273)*303.16))))</f>
        <v>0.104</v>
      </c>
      <c r="E316" s="620">
        <f t="shared" si="36"/>
        <v>2.86</v>
      </c>
      <c r="F316" s="675">
        <f>(E316*'III. Datos Entrada-BE'!I81*'III. Datos Entrada-BE'!$I$191*C316*0.8)+G316</f>
        <v>0</v>
      </c>
      <c r="G316" s="670">
        <f>IF('III. Datos Entrada-BE'!$E$164=B315,0,IF('III. Datos Entrada-BE'!$F$164=B315,0,IF('III. Datos Entrada-BE'!$G$164=B315,0,IF('III. Datos Entrada-BE'!$C$164="Sí",0,(F315-H315)))))</f>
        <v>0</v>
      </c>
      <c r="H316" s="668">
        <f t="shared" si="38"/>
        <v>0</v>
      </c>
      <c r="I316" s="668">
        <f>IF('III. Datos Entrada-BE'!D34=0,0,H316*'III. Datos Entrada-BE'!$C$126*0.717*0.001)*('III. Datos Entrada-BE'!G34/'III. Datos Entrada-BE'!E34)</f>
        <v>0</v>
      </c>
      <c r="J316" s="700">
        <f t="shared" si="37"/>
        <v>0</v>
      </c>
      <c r="K316" s="22"/>
      <c r="L316" s="22"/>
      <c r="M316" s="22"/>
      <c r="O316" s="10"/>
    </row>
    <row r="317" spans="2:16" ht="13" thickBot="1" x14ac:dyDescent="0.3">
      <c r="B317" s="529" t="str">
        <f>'III. Datos Entrada-BE'!$B$35</f>
        <v>abril</v>
      </c>
      <c r="C317" s="667">
        <f>'III. Datos Entrada-BE'!$E$35</f>
        <v>30</v>
      </c>
      <c r="D317" s="675">
        <f>MIN(0.95, MAX(0.104,EXP(15175*(('III. Datos Entrada-BE'!C35+273)-303.16)/(1.987*('III. Datos Entrada-BE'!C35+273)*303.16))))</f>
        <v>0.104</v>
      </c>
      <c r="E317" s="620">
        <f t="shared" si="36"/>
        <v>2.86</v>
      </c>
      <c r="F317" s="675">
        <f>(E317*'III. Datos Entrada-BE'!I82*'III. Datos Entrada-BE'!$I$191*C317*0.8)+G317</f>
        <v>0</v>
      </c>
      <c r="G317" s="670">
        <f>IF('III. Datos Entrada-BE'!$E$164=B316,0,IF('III. Datos Entrada-BE'!$F$164=B316,0,IF('III. Datos Entrada-BE'!$G$164=B316,0,IF('III. Datos Entrada-BE'!$C$164="Sí",0,(F316-H316)))))</f>
        <v>0</v>
      </c>
      <c r="H317" s="668">
        <f t="shared" si="38"/>
        <v>0</v>
      </c>
      <c r="I317" s="668">
        <f>IF('III. Datos Entrada-BE'!D35=0,0,H317*'III. Datos Entrada-BE'!$C$126*0.717*0.001)*('III. Datos Entrada-BE'!G35/'III. Datos Entrada-BE'!E35)</f>
        <v>0</v>
      </c>
      <c r="J317" s="700">
        <f t="shared" si="37"/>
        <v>0</v>
      </c>
      <c r="K317" s="20"/>
      <c r="L317" s="20"/>
      <c r="M317" s="20"/>
    </row>
    <row r="318" spans="2:16" ht="13" thickBot="1" x14ac:dyDescent="0.3">
      <c r="B318" s="529" t="str">
        <f>'III. Datos Entrada-BE'!$B$36</f>
        <v>mayo</v>
      </c>
      <c r="C318" s="667">
        <f>'III. Datos Entrada-BE'!$E$36</f>
        <v>31</v>
      </c>
      <c r="D318" s="675">
        <f>MIN(0.95, MAX(0.104,EXP(15175*(('III. Datos Entrada-BE'!C36+273)-303.16)/(1.987*('III. Datos Entrada-BE'!C36+273)*303.16))))</f>
        <v>0.104</v>
      </c>
      <c r="E318" s="620">
        <f t="shared" si="36"/>
        <v>2.86</v>
      </c>
      <c r="F318" s="675">
        <f>(E318*'III. Datos Entrada-BE'!I83*'III. Datos Entrada-BE'!$I$191*C318*0.8)+G318</f>
        <v>0</v>
      </c>
      <c r="G318" s="670">
        <f>IF('III. Datos Entrada-BE'!$E$164=B317,0,IF('III. Datos Entrada-BE'!$F$164=B317,0,IF('III. Datos Entrada-BE'!$G$164=B317,0,IF('III. Datos Entrada-BE'!$C$164="Sí",0,(F317-H317)))))</f>
        <v>0</v>
      </c>
      <c r="H318" s="668">
        <f t="shared" si="38"/>
        <v>0</v>
      </c>
      <c r="I318" s="668">
        <f>IF('III. Datos Entrada-BE'!D36=0,0,H318*'III. Datos Entrada-BE'!$C$126*0.717*0.001)*('III. Datos Entrada-BE'!G36/'III. Datos Entrada-BE'!E36)</f>
        <v>0</v>
      </c>
      <c r="J318" s="700">
        <f t="shared" si="37"/>
        <v>0</v>
      </c>
      <c r="K318" s="45"/>
      <c r="L318" s="45"/>
      <c r="O318" s="10"/>
      <c r="P318" s="18"/>
    </row>
    <row r="319" spans="2:16" ht="13.5" thickBot="1" x14ac:dyDescent="0.35">
      <c r="B319" s="529" t="str">
        <f>'III. Datos Entrada-BE'!$B$37</f>
        <v>junio</v>
      </c>
      <c r="C319" s="667">
        <f>'III. Datos Entrada-BE'!$E$37</f>
        <v>30</v>
      </c>
      <c r="D319" s="675">
        <f>MIN(0.95, MAX(0.104,EXP(15175*(('III. Datos Entrada-BE'!C37+273)-303.16)/(1.987*('III. Datos Entrada-BE'!C37+273)*303.16))))</f>
        <v>0.104</v>
      </c>
      <c r="E319" s="620">
        <f t="shared" si="36"/>
        <v>2.86</v>
      </c>
      <c r="F319" s="675">
        <f>(E319*'III. Datos Entrada-BE'!I84*'III. Datos Entrada-BE'!$I$191*C319*0.8)+G319</f>
        <v>0</v>
      </c>
      <c r="G319" s="670">
        <f>IF('III. Datos Entrada-BE'!$E$164=B318,0,IF('III. Datos Entrada-BE'!$F$164=B318,0,IF('III. Datos Entrada-BE'!$G$164=B318,0,IF('III. Datos Entrada-BE'!$C$164="Sí",0,(F318-H318)))))</f>
        <v>0</v>
      </c>
      <c r="H319" s="668">
        <f t="shared" si="38"/>
        <v>0</v>
      </c>
      <c r="I319" s="668">
        <f>IF('III. Datos Entrada-BE'!D37=0,0,H319*'III. Datos Entrada-BE'!$C$126*0.717*0.001)*('III. Datos Entrada-BE'!G37/'III. Datos Entrada-BE'!E37)</f>
        <v>0</v>
      </c>
      <c r="J319" s="700">
        <f t="shared" si="37"/>
        <v>0</v>
      </c>
      <c r="N319" s="9"/>
      <c r="O319" s="10"/>
    </row>
    <row r="320" spans="2:16" ht="13" thickBot="1" x14ac:dyDescent="0.3">
      <c r="B320" s="529" t="str">
        <f>'III. Datos Entrada-BE'!$B$38</f>
        <v>julio</v>
      </c>
      <c r="C320" s="667">
        <f>'III. Datos Entrada-BE'!$E$38</f>
        <v>31</v>
      </c>
      <c r="D320" s="675">
        <f>MIN(0.95, MAX(0.104,EXP(15175*(('III. Datos Entrada-BE'!C38+273)-303.16)/(1.987*('III. Datos Entrada-BE'!C38+273)*303.16))))</f>
        <v>0.104</v>
      </c>
      <c r="E320" s="620">
        <f t="shared" si="36"/>
        <v>2.86</v>
      </c>
      <c r="F320" s="675">
        <f>(E320*'III. Datos Entrada-BE'!I85*'III. Datos Entrada-BE'!$I$191*C320*0.8)+G320</f>
        <v>0</v>
      </c>
      <c r="G320" s="670">
        <f>IF('III. Datos Entrada-BE'!$E$164=B319,0,IF('III. Datos Entrada-BE'!$F$164=B319,0,IF('III. Datos Entrada-BE'!$G$164=B319,0,IF('III. Datos Entrada-BE'!$C$164="Sí",0,(F319-H319)))))</f>
        <v>0</v>
      </c>
      <c r="H320" s="668">
        <f t="shared" si="38"/>
        <v>0</v>
      </c>
      <c r="I320" s="668">
        <f>IF('III. Datos Entrada-BE'!D38=0,0,H320*'III. Datos Entrada-BE'!$C$126*0.717*0.001)*('III. Datos Entrada-BE'!G38/'III. Datos Entrada-BE'!E38)</f>
        <v>0</v>
      </c>
      <c r="J320" s="700">
        <f t="shared" si="37"/>
        <v>0</v>
      </c>
    </row>
    <row r="321" spans="2:18" ht="13" thickBot="1" x14ac:dyDescent="0.3">
      <c r="B321" s="529" t="str">
        <f>'III. Datos Entrada-BE'!$B$39</f>
        <v>agosto</v>
      </c>
      <c r="C321" s="667">
        <f>'III. Datos Entrada-BE'!$E$39</f>
        <v>31</v>
      </c>
      <c r="D321" s="675">
        <f>MIN(0.95, MAX(0.104,EXP(15175*(('III. Datos Entrada-BE'!C39+273)-303.16)/(1.987*('III. Datos Entrada-BE'!C39+273)*303.16))))</f>
        <v>0.104</v>
      </c>
      <c r="E321" s="620">
        <f t="shared" si="36"/>
        <v>2.86</v>
      </c>
      <c r="F321" s="675">
        <f>(E321*'III. Datos Entrada-BE'!I86*'III. Datos Entrada-BE'!$I$191*C321*0.8)+G321</f>
        <v>0</v>
      </c>
      <c r="G321" s="670">
        <f>IF('III. Datos Entrada-BE'!$E$164=B320,0,IF('III. Datos Entrada-BE'!$F$164=B320,0,IF('III. Datos Entrada-BE'!$G$164=B320,0,IF('III. Datos Entrada-BE'!$C$164="Sí",0,(F320-H320)))))</f>
        <v>0</v>
      </c>
      <c r="H321" s="668">
        <f t="shared" si="38"/>
        <v>0</v>
      </c>
      <c r="I321" s="668">
        <f>IF('III. Datos Entrada-BE'!D39=0,0,H321*'III. Datos Entrada-BE'!$C$126*0.717*0.001)*('III. Datos Entrada-BE'!G39/'III. Datos Entrada-BE'!E39)</f>
        <v>0</v>
      </c>
      <c r="J321" s="700">
        <f t="shared" si="37"/>
        <v>0</v>
      </c>
    </row>
    <row r="322" spans="2:18" ht="13" thickBot="1" x14ac:dyDescent="0.3">
      <c r="B322" s="529" t="str">
        <f>'III. Datos Entrada-BE'!$B$40</f>
        <v>septiembre</v>
      </c>
      <c r="C322" s="667">
        <f>'III. Datos Entrada-BE'!$E$40</f>
        <v>30</v>
      </c>
      <c r="D322" s="675">
        <f>MIN(0.95, MAX(0.104,EXP(15175*(('III. Datos Entrada-BE'!C40+273)-303.16)/(1.987*('III. Datos Entrada-BE'!C40+273)*303.16))))</f>
        <v>0.104</v>
      </c>
      <c r="E322" s="620">
        <f t="shared" si="36"/>
        <v>2.86</v>
      </c>
      <c r="F322" s="675">
        <f>(E322*'III. Datos Entrada-BE'!I87*'III. Datos Entrada-BE'!$I$191*C322*0.8)+G322</f>
        <v>0</v>
      </c>
      <c r="G322" s="670">
        <f>IF('III. Datos Entrada-BE'!$E$164=B321,0,IF('III. Datos Entrada-BE'!$F$164=B321,0,IF('III. Datos Entrada-BE'!$G$164=B321,0,IF('III. Datos Entrada-BE'!$C$164="Sí",0,(F321-H321)))))</f>
        <v>0</v>
      </c>
      <c r="H322" s="668">
        <f t="shared" si="38"/>
        <v>0</v>
      </c>
      <c r="I322" s="668">
        <f>IF('III. Datos Entrada-BE'!D40=0,0,H322*'III. Datos Entrada-BE'!$C$126*0.717*0.001)*('III. Datos Entrada-BE'!G40/'III. Datos Entrada-BE'!E40)</f>
        <v>0</v>
      </c>
      <c r="J322" s="700">
        <f t="shared" si="37"/>
        <v>0</v>
      </c>
    </row>
    <row r="323" spans="2:18" ht="13" thickBot="1" x14ac:dyDescent="0.3">
      <c r="B323" s="529" t="str">
        <f>'III. Datos Entrada-BE'!$B$41</f>
        <v>octubre</v>
      </c>
      <c r="C323" s="667">
        <f>'III. Datos Entrada-BE'!$E$41</f>
        <v>31</v>
      </c>
      <c r="D323" s="675">
        <f>MIN(0.95, MAX(0.104,EXP(15175*(('III. Datos Entrada-BE'!C41+273)-303.16)/(1.987*('III. Datos Entrada-BE'!C41+273)*303.16))))</f>
        <v>0.104</v>
      </c>
      <c r="E323" s="620">
        <f t="shared" si="36"/>
        <v>2.86</v>
      </c>
      <c r="F323" s="675">
        <f>(E323*'III. Datos Entrada-BE'!I88*'III. Datos Entrada-BE'!$I$191*C323*0.8)+G323</f>
        <v>0</v>
      </c>
      <c r="G323" s="670">
        <f>IF('III. Datos Entrada-BE'!$E$164=B322,0,IF('III. Datos Entrada-BE'!$F$164=B322,0,IF('III. Datos Entrada-BE'!$G$164=B322,0,IF('III. Datos Entrada-BE'!$C$164="Sí",0,(F322-H322)))))</f>
        <v>0</v>
      </c>
      <c r="H323" s="668">
        <f t="shared" si="38"/>
        <v>0</v>
      </c>
      <c r="I323" s="668">
        <f>IF('III. Datos Entrada-BE'!D41=0,0,H323*'III. Datos Entrada-BE'!$C$126*0.717*0.001)*('III. Datos Entrada-BE'!G41/'III. Datos Entrada-BE'!E41)</f>
        <v>0</v>
      </c>
      <c r="J323" s="700">
        <f t="shared" si="37"/>
        <v>0</v>
      </c>
    </row>
    <row r="324" spans="2:18" ht="13" thickBot="1" x14ac:dyDescent="0.3">
      <c r="B324" s="529" t="str">
        <f>'III. Datos Entrada-BE'!$B$42</f>
        <v>noviembre</v>
      </c>
      <c r="C324" s="667">
        <f>'III. Datos Entrada-BE'!$E$42</f>
        <v>30</v>
      </c>
      <c r="D324" s="675">
        <f>MIN(0.95, MAX(0.104,EXP(15175*(('III. Datos Entrada-BE'!C42+273)-303.16)/(1.987*('III. Datos Entrada-BE'!C42+273)*303.16))))</f>
        <v>0.104</v>
      </c>
      <c r="E324" s="620">
        <f t="shared" si="36"/>
        <v>2.86</v>
      </c>
      <c r="F324" s="675">
        <f>(E324*'III. Datos Entrada-BE'!I89*'III. Datos Entrada-BE'!$I$191*C324*0.8)+G324</f>
        <v>0</v>
      </c>
      <c r="G324" s="670">
        <f>IF('III. Datos Entrada-BE'!$E$164=B323,0,IF('III. Datos Entrada-BE'!$F$164=B323,0,IF('III. Datos Entrada-BE'!$G$164=B323,0,IF('III. Datos Entrada-BE'!$C$164="Sí",0,(F323-H323)))))</f>
        <v>0</v>
      </c>
      <c r="H324" s="668">
        <f t="shared" si="38"/>
        <v>0</v>
      </c>
      <c r="I324" s="668">
        <f>IF('III. Datos Entrada-BE'!D42=0,0,H324*'III. Datos Entrada-BE'!$C$126*0.717*0.001)*('III. Datos Entrada-BE'!G42/'III. Datos Entrada-BE'!E42)</f>
        <v>0</v>
      </c>
      <c r="J324" s="700">
        <f t="shared" si="37"/>
        <v>0</v>
      </c>
    </row>
    <row r="325" spans="2:18" ht="13" thickBot="1" x14ac:dyDescent="0.3">
      <c r="B325" s="553" t="str">
        <f>'III. Datos Entrada-BE'!$B$43</f>
        <v>diciembre</v>
      </c>
      <c r="C325" s="671">
        <f>'III. Datos Entrada-BE'!$E$43</f>
        <v>31</v>
      </c>
      <c r="D325" s="677">
        <f>MIN(0.95, MAX(0.104,EXP(15175*(('III. Datos Entrada-BE'!C43+273)-303.16)/(1.987*('III. Datos Entrada-BE'!C43+273)*303.16))))</f>
        <v>0.104</v>
      </c>
      <c r="E325" s="678">
        <f t="shared" si="36"/>
        <v>2.86</v>
      </c>
      <c r="F325" s="677">
        <f>(E325*'III. Datos Entrada-BE'!I90*'III. Datos Entrada-BE'!$I$191*C325*0.8)+G325</f>
        <v>0</v>
      </c>
      <c r="G325" s="670">
        <f>IF('III. Datos Entrada-BE'!$E$164=B324,0,IF('III. Datos Entrada-BE'!$F$164=B324,0,IF('III. Datos Entrada-BE'!$G$164=B324,0,IF('III. Datos Entrada-BE'!$C$164="Sí",0,(F324-H324)))))</f>
        <v>0</v>
      </c>
      <c r="H325" s="575">
        <f t="shared" si="38"/>
        <v>0</v>
      </c>
      <c r="I325" s="575">
        <f>IF('III. Datos Entrada-BE'!D43=0,0,H325*'III. Datos Entrada-BE'!$C$126*0.717*0.001)*('III. Datos Entrada-BE'!G43/'III. Datos Entrada-BE'!E43)</f>
        <v>0</v>
      </c>
      <c r="J325" s="700">
        <f t="shared" si="37"/>
        <v>0</v>
      </c>
    </row>
    <row r="326" spans="2:18" ht="13.5" thickBot="1" x14ac:dyDescent="0.35">
      <c r="B326" s="27" t="s">
        <v>166</v>
      </c>
      <c r="C326" s="504"/>
      <c r="D326" s="505"/>
      <c r="E326" s="505"/>
      <c r="F326" s="506"/>
      <c r="G326" s="507"/>
      <c r="H326" s="906">
        <f>SUM(H314:H325)</f>
        <v>0</v>
      </c>
      <c r="I326" s="376">
        <f>SUM(I314:I325)</f>
        <v>0</v>
      </c>
      <c r="J326" s="54">
        <f>SUM(J314:J325)</f>
        <v>0</v>
      </c>
    </row>
    <row r="327" spans="2:18" ht="13.5" thickBot="1" x14ac:dyDescent="0.35">
      <c r="B327" s="9"/>
      <c r="C327" s="70"/>
      <c r="D327" s="12"/>
      <c r="E327" s="12"/>
      <c r="F327" s="8"/>
      <c r="G327" s="8"/>
      <c r="H327" s="12"/>
      <c r="I327" s="12"/>
      <c r="J327" s="8"/>
    </row>
    <row r="328" spans="2:18" ht="28.5" customHeight="1" thickBot="1" x14ac:dyDescent="0.35">
      <c r="B328" s="1232" t="s">
        <v>928</v>
      </c>
      <c r="C328" s="1233"/>
      <c r="D328" s="1233"/>
      <c r="E328" s="1233"/>
      <c r="F328" s="1234"/>
      <c r="G328" s="456">
        <f>IF('III. Datos Entrada-BE'!C$164="Sí",0,IF('III. Datos Entrada-BE'!E$164=B325,0,IF('III. Datos Entrada-BE'!F$164='V. BE CH4-AS'!B325,0,IF('III. Datos Entrada-BE'!G$164='V. BE CH4-AS'!B325,0,F325-H325))))</f>
        <v>0</v>
      </c>
      <c r="H328" s="12"/>
      <c r="I328" s="12"/>
      <c r="J328" s="8"/>
    </row>
    <row r="329" spans="2:18" ht="128" thickBot="1" x14ac:dyDescent="0.35">
      <c r="G329" s="46" t="s">
        <v>927</v>
      </c>
      <c r="H329" s="12"/>
      <c r="I329" s="12"/>
      <c r="J329" s="8"/>
    </row>
    <row r="330" spans="2:18" ht="13" x14ac:dyDescent="0.3">
      <c r="B330" s="9"/>
      <c r="C330" s="53"/>
    </row>
    <row r="331" spans="2:18" ht="13.5" thickBot="1" x14ac:dyDescent="0.35">
      <c r="B331" s="9"/>
      <c r="C331" s="53"/>
    </row>
    <row r="332" spans="2:18" ht="13" x14ac:dyDescent="0.3">
      <c r="B332" s="9"/>
      <c r="C332" s="53"/>
      <c r="E332" s="1083" t="s">
        <v>924</v>
      </c>
      <c r="F332" s="1084"/>
      <c r="G332" s="1084"/>
      <c r="H332" s="1084"/>
      <c r="I332" s="1084"/>
      <c r="J332" s="1085"/>
    </row>
    <row r="333" spans="2:18" s="9" customFormat="1" ht="13.5" thickBot="1" x14ac:dyDescent="0.35">
      <c r="C333" s="70"/>
      <c r="D333" s="12"/>
      <c r="E333" s="1086"/>
      <c r="F333" s="1087"/>
      <c r="G333" s="1087"/>
      <c r="H333" s="1087"/>
      <c r="I333" s="1087"/>
      <c r="J333" s="1088"/>
      <c r="K333" s="38"/>
      <c r="L333" s="38"/>
      <c r="M333" s="39"/>
    </row>
    <row r="334" spans="2:18" ht="52.5" thickBot="1" x14ac:dyDescent="0.35">
      <c r="B334" s="23" t="str">
        <f>B310</f>
        <v>Novillas y novillos (en pastos/pastizales)
Heifers and Steers (in pasture/rangeland)</v>
      </c>
      <c r="C334" s="24">
        <f>'III. Datos Entrada-BE'!B137</f>
        <v>0</v>
      </c>
      <c r="D334" s="25"/>
      <c r="E334" s="1089"/>
      <c r="F334" s="1090"/>
      <c r="G334" s="1090"/>
      <c r="H334" s="1090"/>
      <c r="I334" s="1090"/>
      <c r="J334" s="1091"/>
    </row>
    <row r="335" spans="2:18" ht="15" x14ac:dyDescent="0.4">
      <c r="B335" s="574" t="s">
        <v>158</v>
      </c>
      <c r="C335" s="666">
        <f>C311</f>
        <v>2.86</v>
      </c>
      <c r="E335" s="8"/>
      <c r="F335" s="12"/>
      <c r="G335" s="12"/>
      <c r="H335" s="12"/>
      <c r="I335" s="12"/>
      <c r="J335" s="12"/>
      <c r="K335" s="22"/>
      <c r="L335" s="22"/>
      <c r="M335" s="22"/>
      <c r="O335" s="22"/>
      <c r="P335" s="20"/>
      <c r="Q335" s="20"/>
      <c r="R335" s="20"/>
    </row>
    <row r="336" spans="2:18" ht="13.5" thickBot="1" x14ac:dyDescent="0.35">
      <c r="B336" s="69"/>
      <c r="C336" s="420"/>
      <c r="E336" s="8"/>
      <c r="F336" s="12"/>
      <c r="G336" s="12"/>
      <c r="H336" s="12"/>
      <c r="I336" s="12"/>
      <c r="J336" s="12"/>
      <c r="K336" s="22"/>
      <c r="L336" s="22"/>
      <c r="M336" s="22"/>
      <c r="O336" s="22"/>
      <c r="P336" s="20"/>
      <c r="Q336" s="20"/>
      <c r="R336" s="20"/>
    </row>
    <row r="337" spans="1:94" ht="27.5" thickBot="1" x14ac:dyDescent="0.45">
      <c r="B337" s="905" t="s">
        <v>442</v>
      </c>
      <c r="C337" s="269" t="s">
        <v>922</v>
      </c>
      <c r="D337" s="59" t="s">
        <v>159</v>
      </c>
      <c r="E337" s="60" t="s">
        <v>160</v>
      </c>
      <c r="F337" s="61" t="s">
        <v>161</v>
      </c>
      <c r="G337" s="457" t="s">
        <v>162</v>
      </c>
      <c r="H337" s="61" t="s">
        <v>163</v>
      </c>
      <c r="I337" s="62" t="s">
        <v>164</v>
      </c>
      <c r="J337" s="63" t="s">
        <v>165</v>
      </c>
    </row>
    <row r="338" spans="1:94" x14ac:dyDescent="0.25">
      <c r="B338" s="29" t="str">
        <f>'III. Datos Entrada-BE'!$B$32</f>
        <v>enero</v>
      </c>
      <c r="C338" s="416">
        <f>'III. Datos Entrada-BE'!$E$32</f>
        <v>31</v>
      </c>
      <c r="D338" s="50">
        <f>MIN(0.95, MAX(0.104,EXP(15175*(('III. Datos Entrada-BE'!C32+273)-303.16)/(1.987*('III. Datos Entrada-BE'!C32+273)*303.16))))</f>
        <v>0.104</v>
      </c>
      <c r="E338" s="51">
        <f t="shared" ref="E338:E349" si="39">$C$335</f>
        <v>2.86</v>
      </c>
      <c r="F338" s="50">
        <f>(E338*'III. Datos Entrada-BE'!I79*'III. Datos Entrada-BE'!$I$192*C338*0.8)+G338</f>
        <v>0</v>
      </c>
      <c r="G338" s="32"/>
      <c r="H338" s="31">
        <f>F338*D338</f>
        <v>0</v>
      </c>
      <c r="I338" s="31">
        <f>IF('III. Datos Entrada-BE'!D32=0,0,H338*'III. Datos Entrada-BE'!$C$126*0.717*0.001)*('III. Datos Entrada-BE'!G32/'III. Datos Entrada-BE'!E32)</f>
        <v>0</v>
      </c>
      <c r="J338" s="33">
        <f t="shared" ref="J338:J349" si="40">I338*PCG</f>
        <v>0</v>
      </c>
    </row>
    <row r="339" spans="1:94" x14ac:dyDescent="0.25">
      <c r="B339" s="529" t="str">
        <f>'III. Datos Entrada-BE'!$B$33</f>
        <v>febrero</v>
      </c>
      <c r="C339" s="667">
        <f>'III. Datos Entrada-BE'!$E$33</f>
        <v>28</v>
      </c>
      <c r="D339" s="675">
        <f>MIN(0.95, MAX(0.104,EXP(15175*(('III. Datos Entrada-BE'!C33+273)-303.16)/(1.987*('III. Datos Entrada-BE'!C33+273)*303.16))))</f>
        <v>0.104</v>
      </c>
      <c r="E339" s="620">
        <f t="shared" si="39"/>
        <v>2.86</v>
      </c>
      <c r="F339" s="675">
        <f>(E339*'III. Datos Entrada-BE'!I80*'III. Datos Entrada-BE'!$I$192*C339*0.8)+G339</f>
        <v>0</v>
      </c>
      <c r="G339" s="670">
        <f>IF('III. Datos Entrada-BE'!$E$165=B338,0,IF('III. Datos Entrada-BE'!$F$165=B338,0,IF('III. Datos Entrada-BE'!$G$165=B338,0,IF('III. Datos Entrada-BE'!$C$165="Sí",0,(F338-H338)))))</f>
        <v>0</v>
      </c>
      <c r="H339" s="668">
        <f t="shared" ref="H339:H349" si="41">F339*D339</f>
        <v>0</v>
      </c>
      <c r="I339" s="668">
        <f>IF('III. Datos Entrada-BE'!D33=0,0,H339*'III. Datos Entrada-BE'!$C$126*0.717*0.001)*('III. Datos Entrada-BE'!G33/'III. Datos Entrada-BE'!E33)</f>
        <v>0</v>
      </c>
      <c r="J339" s="676">
        <f t="shared" si="40"/>
        <v>0</v>
      </c>
    </row>
    <row r="340" spans="1:94" x14ac:dyDescent="0.25">
      <c r="B340" s="529" t="str">
        <f>'III. Datos Entrada-BE'!$B$34</f>
        <v>marzo</v>
      </c>
      <c r="C340" s="667">
        <f>'III. Datos Entrada-BE'!$E$34</f>
        <v>31</v>
      </c>
      <c r="D340" s="675">
        <f>MIN(0.95, MAX(0.104,EXP(15175*(('III. Datos Entrada-BE'!C34+273)-303.16)/(1.987*('III. Datos Entrada-BE'!C34+273)*303.16))))</f>
        <v>0.104</v>
      </c>
      <c r="E340" s="620">
        <f t="shared" si="39"/>
        <v>2.86</v>
      </c>
      <c r="F340" s="675">
        <f>(E340*'III. Datos Entrada-BE'!I81*'III. Datos Entrada-BE'!$I$192*C340*0.8)+G340</f>
        <v>0</v>
      </c>
      <c r="G340" s="670">
        <f>IF('III. Datos Entrada-BE'!$E$165=B339,0,IF('III. Datos Entrada-BE'!$F$165=B339,0,IF('III. Datos Entrada-BE'!$G$165=B339,0,IF('III. Datos Entrada-BE'!$C$165="Sí",0,(F339-H339)))))</f>
        <v>0</v>
      </c>
      <c r="H340" s="668">
        <f t="shared" si="41"/>
        <v>0</v>
      </c>
      <c r="I340" s="668">
        <f>IF('III. Datos Entrada-BE'!D34=0,0,H340*'III. Datos Entrada-BE'!$C$126*0.717*0.001)*('III. Datos Entrada-BE'!G34/'III. Datos Entrada-BE'!E34)</f>
        <v>0</v>
      </c>
      <c r="J340" s="676">
        <f t="shared" si="40"/>
        <v>0</v>
      </c>
    </row>
    <row r="341" spans="1:94" x14ac:dyDescent="0.25">
      <c r="B341" s="529" t="str">
        <f>'III. Datos Entrada-BE'!$B$35</f>
        <v>abril</v>
      </c>
      <c r="C341" s="667">
        <f>'III. Datos Entrada-BE'!$E$35</f>
        <v>30</v>
      </c>
      <c r="D341" s="675">
        <f>MIN(0.95, MAX(0.104,EXP(15175*(('III. Datos Entrada-BE'!C35+273)-303.16)/(1.987*('III. Datos Entrada-BE'!C35+273)*303.16))))</f>
        <v>0.104</v>
      </c>
      <c r="E341" s="620">
        <f t="shared" si="39"/>
        <v>2.86</v>
      </c>
      <c r="F341" s="675">
        <f>(E341*'III. Datos Entrada-BE'!I82*'III. Datos Entrada-BE'!$I$192*C341*0.8)+G341</f>
        <v>0</v>
      </c>
      <c r="G341" s="670">
        <f>IF('III. Datos Entrada-BE'!$E$165=B340,0,IF('III. Datos Entrada-BE'!$F$165=B340,0,IF('III. Datos Entrada-BE'!$G$165=B340,0,IF('III. Datos Entrada-BE'!$C$165="Sí",0,(F340-H340)))))</f>
        <v>0</v>
      </c>
      <c r="H341" s="668">
        <f t="shared" si="41"/>
        <v>0</v>
      </c>
      <c r="I341" s="668">
        <f>IF('III. Datos Entrada-BE'!D35=0,0,H341*'III. Datos Entrada-BE'!$C$126*0.717*0.001)*('III. Datos Entrada-BE'!G35/'III. Datos Entrada-BE'!E35)</f>
        <v>0</v>
      </c>
      <c r="J341" s="676">
        <f t="shared" si="40"/>
        <v>0</v>
      </c>
    </row>
    <row r="342" spans="1:94" x14ac:dyDescent="0.25">
      <c r="B342" s="529" t="str">
        <f>'III. Datos Entrada-BE'!$B$36</f>
        <v>mayo</v>
      </c>
      <c r="C342" s="667">
        <f>'III. Datos Entrada-BE'!$E$36</f>
        <v>31</v>
      </c>
      <c r="D342" s="675">
        <f>MIN(0.95, MAX(0.104,EXP(15175*(('III. Datos Entrada-BE'!C36+273)-303.16)/(1.987*('III. Datos Entrada-BE'!C36+273)*303.16))))</f>
        <v>0.104</v>
      </c>
      <c r="E342" s="620">
        <f t="shared" si="39"/>
        <v>2.86</v>
      </c>
      <c r="F342" s="675">
        <f>(E342*'III. Datos Entrada-BE'!I83*'III. Datos Entrada-BE'!$I$192*C342*0.8)+G342</f>
        <v>0</v>
      </c>
      <c r="G342" s="670">
        <f>IF('III. Datos Entrada-BE'!$E$165=B341,0,IF('III. Datos Entrada-BE'!$F$165=B341,0,IF('III. Datos Entrada-BE'!$G$165=B341,0,IF('III. Datos Entrada-BE'!$C$165="Sí",0,(F341-H341)))))</f>
        <v>0</v>
      </c>
      <c r="H342" s="668">
        <f t="shared" si="41"/>
        <v>0</v>
      </c>
      <c r="I342" s="668">
        <f>IF('III. Datos Entrada-BE'!D36=0,0,H342*'III. Datos Entrada-BE'!$C$126*0.717*0.001)*('III. Datos Entrada-BE'!G36/'III. Datos Entrada-BE'!E36)</f>
        <v>0</v>
      </c>
      <c r="J342" s="676">
        <f t="shared" si="40"/>
        <v>0</v>
      </c>
    </row>
    <row r="343" spans="1:94" x14ac:dyDescent="0.25">
      <c r="B343" s="529" t="str">
        <f>'III. Datos Entrada-BE'!$B$37</f>
        <v>junio</v>
      </c>
      <c r="C343" s="667">
        <f>'III. Datos Entrada-BE'!$E$37</f>
        <v>30</v>
      </c>
      <c r="D343" s="675">
        <f>MIN(0.95, MAX(0.104,EXP(15175*(('III. Datos Entrada-BE'!C37+273)-303.16)/(1.987*('III. Datos Entrada-BE'!C37+273)*303.16))))</f>
        <v>0.104</v>
      </c>
      <c r="E343" s="620">
        <f t="shared" si="39"/>
        <v>2.86</v>
      </c>
      <c r="F343" s="675">
        <f>(E343*'III. Datos Entrada-BE'!I84*'III. Datos Entrada-BE'!$I$192*C343*0.8)+G343</f>
        <v>0</v>
      </c>
      <c r="G343" s="670">
        <f>IF('III. Datos Entrada-BE'!$E$165=B342,0,IF('III. Datos Entrada-BE'!$F$165=B342,0,IF('III. Datos Entrada-BE'!$G$165=B342,0,IF('III. Datos Entrada-BE'!$C$165="Sí",0,(F342-H342)))))</f>
        <v>0</v>
      </c>
      <c r="H343" s="668">
        <f t="shared" si="41"/>
        <v>0</v>
      </c>
      <c r="I343" s="668">
        <f>IF('III. Datos Entrada-BE'!D37=0,0,H343*'III. Datos Entrada-BE'!$C$126*0.717*0.001)*('III. Datos Entrada-BE'!G37/'III. Datos Entrada-BE'!E37)</f>
        <v>0</v>
      </c>
      <c r="J343" s="676">
        <f t="shared" si="40"/>
        <v>0</v>
      </c>
    </row>
    <row r="344" spans="1:94" x14ac:dyDescent="0.25">
      <c r="B344" s="529" t="str">
        <f>'III. Datos Entrada-BE'!$B$38</f>
        <v>julio</v>
      </c>
      <c r="C344" s="667">
        <f>'III. Datos Entrada-BE'!$E$38</f>
        <v>31</v>
      </c>
      <c r="D344" s="675">
        <f>MIN(0.95, MAX(0.104,EXP(15175*(('III. Datos Entrada-BE'!C38+273)-303.16)/(1.987*('III. Datos Entrada-BE'!C38+273)*303.16))))</f>
        <v>0.104</v>
      </c>
      <c r="E344" s="620">
        <f t="shared" si="39"/>
        <v>2.86</v>
      </c>
      <c r="F344" s="675">
        <f>(E344*'III. Datos Entrada-BE'!I85*'III. Datos Entrada-BE'!$I$192*C344*0.8)+G344</f>
        <v>0</v>
      </c>
      <c r="G344" s="670">
        <f>IF('III. Datos Entrada-BE'!$E$165=B343,0,IF('III. Datos Entrada-BE'!$F$165=B343,0,IF('III. Datos Entrada-BE'!$G$165=B343,0,IF('III. Datos Entrada-BE'!$C$165="Sí",0,(F343-H343)))))</f>
        <v>0</v>
      </c>
      <c r="H344" s="668">
        <f t="shared" si="41"/>
        <v>0</v>
      </c>
      <c r="I344" s="668">
        <f>IF('III. Datos Entrada-BE'!D38=0,0,H344*'III. Datos Entrada-BE'!$C$126*0.717*0.001)*('III. Datos Entrada-BE'!G38/'III. Datos Entrada-BE'!E38)</f>
        <v>0</v>
      </c>
      <c r="J344" s="676">
        <f t="shared" si="40"/>
        <v>0</v>
      </c>
    </row>
    <row r="345" spans="1:94" x14ac:dyDescent="0.25">
      <c r="B345" s="529" t="str">
        <f>'III. Datos Entrada-BE'!$B$39</f>
        <v>agosto</v>
      </c>
      <c r="C345" s="667">
        <f>'III. Datos Entrada-BE'!$E$39</f>
        <v>31</v>
      </c>
      <c r="D345" s="675">
        <f>MIN(0.95, MAX(0.104,EXP(15175*(('III. Datos Entrada-BE'!C39+273)-303.16)/(1.987*('III. Datos Entrada-BE'!C39+273)*303.16))))</f>
        <v>0.104</v>
      </c>
      <c r="E345" s="620">
        <f t="shared" si="39"/>
        <v>2.86</v>
      </c>
      <c r="F345" s="675">
        <f>(E345*'III. Datos Entrada-BE'!I86*'III. Datos Entrada-BE'!$I$192*C345*0.8)+G345</f>
        <v>0</v>
      </c>
      <c r="G345" s="670">
        <f>IF('III. Datos Entrada-BE'!$E$165=B344,0,IF('III. Datos Entrada-BE'!$F$165=B344,0,IF('III. Datos Entrada-BE'!$G$165=B344,0,IF('III. Datos Entrada-BE'!$C$165="Sí",0,(F344-H344)))))</f>
        <v>0</v>
      </c>
      <c r="H345" s="668">
        <f t="shared" si="41"/>
        <v>0</v>
      </c>
      <c r="I345" s="668">
        <f>IF('III. Datos Entrada-BE'!D39=0,0,H345*'III. Datos Entrada-BE'!$C$126*0.717*0.001)*('III. Datos Entrada-BE'!G39/'III. Datos Entrada-BE'!E39)</f>
        <v>0</v>
      </c>
      <c r="J345" s="676">
        <f t="shared" si="40"/>
        <v>0</v>
      </c>
    </row>
    <row r="346" spans="1:94" x14ac:dyDescent="0.25">
      <c r="B346" s="529" t="str">
        <f>'III. Datos Entrada-BE'!$B$40</f>
        <v>septiembre</v>
      </c>
      <c r="C346" s="667">
        <f>'III. Datos Entrada-BE'!$E$40</f>
        <v>30</v>
      </c>
      <c r="D346" s="675">
        <f>MIN(0.95, MAX(0.104,EXP(15175*(('III. Datos Entrada-BE'!C40+273)-303.16)/(1.987*('III. Datos Entrada-BE'!C40+273)*303.16))))</f>
        <v>0.104</v>
      </c>
      <c r="E346" s="620">
        <f t="shared" si="39"/>
        <v>2.86</v>
      </c>
      <c r="F346" s="675">
        <f>(E346*'III. Datos Entrada-BE'!I87*'III. Datos Entrada-BE'!$I$192*C346*0.8)+G346</f>
        <v>0</v>
      </c>
      <c r="G346" s="670">
        <f>IF('III. Datos Entrada-BE'!$E$165=B345,0,IF('III. Datos Entrada-BE'!$F$165=B345,0,IF('III. Datos Entrada-BE'!$G$165=B345,0,IF('III. Datos Entrada-BE'!$C$165="Sí",0,(F345-H345)))))</f>
        <v>0</v>
      </c>
      <c r="H346" s="668">
        <f t="shared" si="41"/>
        <v>0</v>
      </c>
      <c r="I346" s="668">
        <f>IF('III. Datos Entrada-BE'!D40=0,0,H346*'III. Datos Entrada-BE'!$C$126*0.717*0.001)*('III. Datos Entrada-BE'!G40/'III. Datos Entrada-BE'!E40)</f>
        <v>0</v>
      </c>
      <c r="J346" s="676">
        <f t="shared" si="40"/>
        <v>0</v>
      </c>
    </row>
    <row r="347" spans="1:94" s="9" customFormat="1" ht="13" x14ac:dyDescent="0.3">
      <c r="B347" s="529" t="str">
        <f>'III. Datos Entrada-BE'!$B$41</f>
        <v>octubre</v>
      </c>
      <c r="C347" s="667">
        <f>'III. Datos Entrada-BE'!$E$41</f>
        <v>31</v>
      </c>
      <c r="D347" s="675">
        <f>MIN(0.95, MAX(0.104,EXP(15175*(('III. Datos Entrada-BE'!C41+273)-303.16)/(1.987*('III. Datos Entrada-BE'!C41+273)*303.16))))</f>
        <v>0.104</v>
      </c>
      <c r="E347" s="620">
        <f t="shared" si="39"/>
        <v>2.86</v>
      </c>
      <c r="F347" s="675">
        <f>(E347*'III. Datos Entrada-BE'!I88*'III. Datos Entrada-BE'!$I$192*C347*0.8)+G347</f>
        <v>0</v>
      </c>
      <c r="G347" s="670">
        <f>IF('III. Datos Entrada-BE'!$E$165=B346,0,IF('III. Datos Entrada-BE'!$F$165=B346,0,IF('III. Datos Entrada-BE'!$G$165=B346,0,IF('III. Datos Entrada-BE'!$C$165="Sí",0,(F346-H346)))))</f>
        <v>0</v>
      </c>
      <c r="H347" s="668">
        <f t="shared" si="41"/>
        <v>0</v>
      </c>
      <c r="I347" s="668">
        <f>IF('III. Datos Entrada-BE'!D41=0,0,H347*'III. Datos Entrada-BE'!$C$126*0.717*0.001)*('III. Datos Entrada-BE'!G41/'III. Datos Entrada-BE'!E41)</f>
        <v>0</v>
      </c>
      <c r="J347" s="676">
        <f t="shared" si="40"/>
        <v>0</v>
      </c>
      <c r="K347" s="38"/>
      <c r="L347" s="38"/>
      <c r="M347" s="39"/>
      <c r="N347" s="39"/>
      <c r="O347" s="22"/>
      <c r="Q347" s="38"/>
    </row>
    <row r="348" spans="1:94" x14ac:dyDescent="0.25">
      <c r="B348" s="529" t="str">
        <f>'III. Datos Entrada-BE'!$B$42</f>
        <v>noviembre</v>
      </c>
      <c r="C348" s="667">
        <f>'III. Datos Entrada-BE'!$E$42</f>
        <v>30</v>
      </c>
      <c r="D348" s="675">
        <f>MIN(0.95, MAX(0.104,EXP(15175*(('III. Datos Entrada-BE'!C42+273)-303.16)/(1.987*('III. Datos Entrada-BE'!C42+273)*303.16))))</f>
        <v>0.104</v>
      </c>
      <c r="E348" s="620">
        <f t="shared" si="39"/>
        <v>2.86</v>
      </c>
      <c r="F348" s="675">
        <f>(E348*'III. Datos Entrada-BE'!I89*'III. Datos Entrada-BE'!$I$192*C348*0.8)+G348</f>
        <v>0</v>
      </c>
      <c r="G348" s="670">
        <f>IF('III. Datos Entrada-BE'!$E$165=B347,0,IF('III. Datos Entrada-BE'!$F$165=B347,0,IF('III. Datos Entrada-BE'!$G$165=B347,0,IF('III. Datos Entrada-BE'!$C$165="Sí",0,(F347-H347)))))</f>
        <v>0</v>
      </c>
      <c r="H348" s="668">
        <f t="shared" si="41"/>
        <v>0</v>
      </c>
      <c r="I348" s="668">
        <f>IF('III. Datos Entrada-BE'!D42=0,0,H348*'III. Datos Entrada-BE'!$C$126*0.717*0.001)*('III. Datos Entrada-BE'!G42/'III. Datos Entrada-BE'!E42)</f>
        <v>0</v>
      </c>
      <c r="J348" s="676">
        <f t="shared" si="40"/>
        <v>0</v>
      </c>
      <c r="K348" s="45"/>
      <c r="L348" s="45"/>
      <c r="M348" s="45"/>
      <c r="N348" s="44"/>
      <c r="O348" s="45"/>
      <c r="P348" s="44"/>
      <c r="Q348" s="44"/>
    </row>
    <row r="349" spans="1:94" ht="13.5" thickBot="1" x14ac:dyDescent="0.35">
      <c r="B349" s="553" t="str">
        <f>'III. Datos Entrada-BE'!$B$43</f>
        <v>diciembre</v>
      </c>
      <c r="C349" s="671">
        <f>'III. Datos Entrada-BE'!$E$43</f>
        <v>31</v>
      </c>
      <c r="D349" s="677">
        <f>MIN(0.95, MAX(0.104,EXP(15175*(('III. Datos Entrada-BE'!C43+273)-303.16)/(1.987*('III. Datos Entrada-BE'!C43+273)*303.16))))</f>
        <v>0.104</v>
      </c>
      <c r="E349" s="678">
        <f t="shared" si="39"/>
        <v>2.86</v>
      </c>
      <c r="F349" s="677">
        <f>(E349*'III. Datos Entrada-BE'!I90*'III. Datos Entrada-BE'!$I$192*C349*0.8)+G349</f>
        <v>0</v>
      </c>
      <c r="G349" s="670">
        <f>IF('III. Datos Entrada-BE'!$E$165=B348,0,IF('III. Datos Entrada-BE'!$F$165=B348,0,IF('III. Datos Entrada-BE'!$G$165=B348,0,IF('III. Datos Entrada-BE'!$C$165="Sí",0,(F348-H348)))))</f>
        <v>0</v>
      </c>
      <c r="H349" s="575">
        <f t="shared" si="41"/>
        <v>0</v>
      </c>
      <c r="I349" s="575">
        <f>IF('III. Datos Entrada-BE'!D43=0,0,H349*'III. Datos Entrada-BE'!$C$126*0.717*0.001)*('III. Datos Entrada-BE'!G43/'III. Datos Entrada-BE'!E43)</f>
        <v>0</v>
      </c>
      <c r="J349" s="676">
        <f t="shared" si="40"/>
        <v>0</v>
      </c>
      <c r="K349" s="22"/>
      <c r="L349" s="22"/>
      <c r="M349" s="22"/>
      <c r="O349" s="10"/>
    </row>
    <row r="350" spans="1:94" ht="13.5" thickBot="1" x14ac:dyDescent="0.35">
      <c r="B350" s="27" t="s">
        <v>166</v>
      </c>
      <c r="C350" s="504"/>
      <c r="D350" s="505"/>
      <c r="E350" s="505"/>
      <c r="F350" s="506"/>
      <c r="G350" s="507"/>
      <c r="H350" s="906">
        <f>SUM(H338:H349)</f>
        <v>0</v>
      </c>
      <c r="I350" s="376">
        <f>SUM(I338:I349)</f>
        <v>0</v>
      </c>
      <c r="J350" s="54">
        <f>SUM(J338:J349)</f>
        <v>0</v>
      </c>
      <c r="K350" s="22"/>
      <c r="L350" s="22"/>
      <c r="M350" s="22"/>
      <c r="O350" s="10"/>
    </row>
    <row r="351" spans="1:94" ht="13.5" thickBot="1" x14ac:dyDescent="0.35">
      <c r="B351" s="9"/>
      <c r="C351" s="70"/>
      <c r="D351" s="12"/>
      <c r="E351" s="12"/>
      <c r="F351" s="8"/>
      <c r="G351" s="8"/>
      <c r="H351" s="12"/>
      <c r="I351" s="12"/>
      <c r="J351" s="8"/>
      <c r="K351" s="22"/>
      <c r="L351" s="22"/>
      <c r="M351" s="22"/>
      <c r="O351" s="10"/>
    </row>
    <row r="352" spans="1:94" s="49" customFormat="1" ht="28" customHeight="1" thickBot="1" x14ac:dyDescent="0.35">
      <c r="A352" s="2"/>
      <c r="B352" s="1232" t="s">
        <v>928</v>
      </c>
      <c r="C352" s="1233"/>
      <c r="D352" s="1233"/>
      <c r="E352" s="1233"/>
      <c r="F352" s="1234"/>
      <c r="G352" s="456">
        <f>IF('III. Datos Entrada-BE'!C$165="Sí",0,IF('III. Datos Entrada-BE'!E$165=B349,0,IF('III. Datos Entrada-BE'!F$165='V. BE CH4-AS'!B349,0,IF('III. Datos Entrada-BE'!G$165='V. BE CH4-AS'!B349,0,F349-H349))))</f>
        <v>0</v>
      </c>
      <c r="H352" s="12"/>
      <c r="I352" s="12"/>
      <c r="J352" s="8"/>
      <c r="K352" s="22"/>
      <c r="L352" s="22"/>
      <c r="M352" s="22"/>
      <c r="N352" s="2"/>
      <c r="O352" s="10"/>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row>
    <row r="353" spans="2:18" ht="128" thickBot="1" x14ac:dyDescent="0.35">
      <c r="G353" s="46" t="s">
        <v>927</v>
      </c>
      <c r="H353" s="12"/>
      <c r="I353" s="12"/>
      <c r="J353" s="8"/>
      <c r="K353" s="22"/>
      <c r="L353" s="22"/>
      <c r="M353" s="22"/>
      <c r="O353" s="10"/>
    </row>
    <row r="354" spans="2:18" ht="13.5" thickBot="1" x14ac:dyDescent="0.35">
      <c r="B354" s="9"/>
      <c r="C354" s="53"/>
      <c r="K354" s="22"/>
      <c r="L354" s="22"/>
      <c r="M354" s="22"/>
      <c r="O354" s="10"/>
    </row>
    <row r="355" spans="2:18" ht="13" x14ac:dyDescent="0.3">
      <c r="B355" s="22"/>
      <c r="C355" s="26"/>
      <c r="D355" s="73"/>
      <c r="E355" s="1083" t="s">
        <v>924</v>
      </c>
      <c r="F355" s="1109"/>
      <c r="G355" s="1109"/>
      <c r="H355" s="1109"/>
      <c r="I355" s="1109"/>
      <c r="J355" s="1110"/>
      <c r="K355" s="20"/>
      <c r="L355" s="20"/>
      <c r="M355" s="20"/>
    </row>
    <row r="356" spans="2:18" ht="13.5" thickBot="1" x14ac:dyDescent="0.35">
      <c r="B356" s="9"/>
      <c r="C356" s="53"/>
      <c r="E356" s="1107"/>
      <c r="F356" s="1111"/>
      <c r="G356" s="1111"/>
      <c r="H356" s="1111"/>
      <c r="I356" s="1111"/>
      <c r="J356" s="1112"/>
      <c r="K356" s="45"/>
      <c r="L356" s="45"/>
      <c r="O356" s="10"/>
      <c r="P356" s="18"/>
    </row>
    <row r="357" spans="2:18" ht="26.5" thickBot="1" x14ac:dyDescent="0.35">
      <c r="B357" s="23" t="str">
        <f>'III. Datos Entrada-BE'!C60</f>
        <v>Vacas (en pastos/pastizales) 
Cows (in pasture/rangeland)</v>
      </c>
      <c r="C357" s="24">
        <f>'III. Datos Entrada-BE'!B136</f>
        <v>0</v>
      </c>
      <c r="D357" s="25"/>
      <c r="E357" s="1113"/>
      <c r="F357" s="1114"/>
      <c r="G357" s="1114"/>
      <c r="H357" s="1114"/>
      <c r="I357" s="1114"/>
      <c r="J357" s="1115"/>
      <c r="N357" s="9"/>
      <c r="O357" s="10"/>
    </row>
    <row r="358" spans="2:18" ht="15" x14ac:dyDescent="0.4">
      <c r="B358" s="574" t="s">
        <v>158</v>
      </c>
      <c r="C358" s="666">
        <f>'III. Datos Entrada-BE'!D111</f>
        <v>3.55</v>
      </c>
      <c r="E358" s="8"/>
      <c r="F358" s="12"/>
      <c r="G358" s="12"/>
      <c r="H358" s="12"/>
      <c r="I358" s="12"/>
      <c r="J358" s="12"/>
    </row>
    <row r="359" spans="2:18" ht="13.5" thickBot="1" x14ac:dyDescent="0.35">
      <c r="B359" s="69"/>
      <c r="C359" s="420"/>
      <c r="E359" s="8"/>
      <c r="F359" s="12"/>
      <c r="G359" s="12"/>
      <c r="H359" s="12"/>
      <c r="I359" s="12"/>
      <c r="J359" s="12"/>
    </row>
    <row r="360" spans="2:18" ht="27.5" thickBot="1" x14ac:dyDescent="0.45">
      <c r="B360" s="905" t="s">
        <v>442</v>
      </c>
      <c r="C360" s="269" t="s">
        <v>922</v>
      </c>
      <c r="D360" s="59" t="s">
        <v>159</v>
      </c>
      <c r="E360" s="60" t="s">
        <v>160</v>
      </c>
      <c r="F360" s="61" t="s">
        <v>161</v>
      </c>
      <c r="G360" s="60" t="s">
        <v>162</v>
      </c>
      <c r="H360" s="61" t="s">
        <v>163</v>
      </c>
      <c r="I360" s="62" t="s">
        <v>164</v>
      </c>
      <c r="J360" s="63" t="s">
        <v>165</v>
      </c>
    </row>
    <row r="361" spans="2:18" x14ac:dyDescent="0.25">
      <c r="B361" s="29" t="str">
        <f>'III. Datos Entrada-BE'!$B$32</f>
        <v>enero</v>
      </c>
      <c r="C361" s="416">
        <f>'III. Datos Entrada-BE'!$E$32</f>
        <v>31</v>
      </c>
      <c r="D361" s="50">
        <f>MIN(0.95, MAX(0.104,EXP(15175*(('III. Datos Entrada-BE'!C32+273)-303.16)/(1.987*('III. Datos Entrada-BE'!C32+273)*303.16))))</f>
        <v>0.104</v>
      </c>
      <c r="E361" s="51">
        <f t="shared" ref="E361:E372" si="42">$C$358</f>
        <v>3.55</v>
      </c>
      <c r="F361" s="50">
        <f>(E361*'III. Datos Entrada-BE'!J79*'III. Datos Entrada-BE'!$J$191*C361*0.8)+G361</f>
        <v>0</v>
      </c>
      <c r="G361" s="32"/>
      <c r="H361" s="31">
        <f>F361*D361</f>
        <v>0</v>
      </c>
      <c r="I361" s="31">
        <f>IF('III. Datos Entrada-BE'!D32=0,0,H361*'III. Datos Entrada-BE'!$C$127*0.717*0.001)*('III. Datos Entrada-BE'!G32/'III. Datos Entrada-BE'!E32)</f>
        <v>0</v>
      </c>
      <c r="J361" s="33">
        <f t="shared" ref="J361:J372" si="43">I361*PCG</f>
        <v>0</v>
      </c>
    </row>
    <row r="362" spans="2:18" x14ac:dyDescent="0.25">
      <c r="B362" s="529" t="str">
        <f>'III. Datos Entrada-BE'!$B$33</f>
        <v>febrero</v>
      </c>
      <c r="C362" s="667">
        <f>'III. Datos Entrada-BE'!$E$33</f>
        <v>28</v>
      </c>
      <c r="D362" s="675">
        <f>MIN(0.95, MAX(0.104,EXP(15175*(('III. Datos Entrada-BE'!C33+273)-303.16)/(1.987*('III. Datos Entrada-BE'!C33+273)*303.16))))</f>
        <v>0.104</v>
      </c>
      <c r="E362" s="620">
        <f t="shared" si="42"/>
        <v>3.55</v>
      </c>
      <c r="F362" s="675">
        <f>(E362*'III. Datos Entrada-BE'!J80*'III. Datos Entrada-BE'!$J$191*C362*0.8)+G362</f>
        <v>0</v>
      </c>
      <c r="G362" s="670">
        <f>IF('III. Datos Entrada-BE'!$E$164=B361,0,IF('III. Datos Entrada-BE'!$F$164=B361,0,IF('III. Datos Entrada-BE'!$G$164=B361,0,IF('III. Datos Entrada-BE'!$C$164="Sí",0,(F361-H361)))))</f>
        <v>0</v>
      </c>
      <c r="H362" s="668">
        <f t="shared" ref="H362:H372" si="44">F362*D362</f>
        <v>0</v>
      </c>
      <c r="I362" s="668">
        <f>IF('III. Datos Entrada-BE'!D33=0,0,H362*'III. Datos Entrada-BE'!$C$127*0.717*0.001)*('III. Datos Entrada-BE'!G33/'III. Datos Entrada-BE'!E33)</f>
        <v>0</v>
      </c>
      <c r="J362" s="676">
        <f t="shared" si="43"/>
        <v>0</v>
      </c>
    </row>
    <row r="363" spans="2:18" x14ac:dyDescent="0.25">
      <c r="B363" s="529" t="str">
        <f>'III. Datos Entrada-BE'!$B$34</f>
        <v>marzo</v>
      </c>
      <c r="C363" s="667">
        <f>'III. Datos Entrada-BE'!$E$34</f>
        <v>31</v>
      </c>
      <c r="D363" s="675">
        <f>MIN(0.95, MAX(0.104,EXP(15175*(('III. Datos Entrada-BE'!C34+273)-303.16)/(1.987*('III. Datos Entrada-BE'!C34+273)*303.16))))</f>
        <v>0.104</v>
      </c>
      <c r="E363" s="620">
        <f t="shared" si="42"/>
        <v>3.55</v>
      </c>
      <c r="F363" s="675">
        <f>(E363*'III. Datos Entrada-BE'!J81*'III. Datos Entrada-BE'!$J$191*C363*0.8)+G363</f>
        <v>0</v>
      </c>
      <c r="G363" s="670">
        <f>IF('III. Datos Entrada-BE'!$E$164=B362,0,IF('III. Datos Entrada-BE'!$F$164=B362,0,IF('III. Datos Entrada-BE'!$G$164=B362,0,IF('III. Datos Entrada-BE'!$C$164="Sí",0,(F362-H362)))))</f>
        <v>0</v>
      </c>
      <c r="H363" s="668">
        <f t="shared" si="44"/>
        <v>0</v>
      </c>
      <c r="I363" s="668">
        <f>IF('III. Datos Entrada-BE'!D34=0,0,H363*'III. Datos Entrada-BE'!$C$127*0.717*0.001)*('III. Datos Entrada-BE'!G34/'III. Datos Entrada-BE'!E34)</f>
        <v>0</v>
      </c>
      <c r="J363" s="676">
        <f t="shared" si="43"/>
        <v>0</v>
      </c>
    </row>
    <row r="364" spans="2:18" s="9" customFormat="1" ht="13" x14ac:dyDescent="0.3">
      <c r="B364" s="529" t="str">
        <f>'III. Datos Entrada-BE'!$B$35</f>
        <v>abril</v>
      </c>
      <c r="C364" s="667">
        <f>'III. Datos Entrada-BE'!$E$35</f>
        <v>30</v>
      </c>
      <c r="D364" s="675">
        <f>MIN(0.95, MAX(0.104,EXP(15175*(('III. Datos Entrada-BE'!C35+273)-303.16)/(1.987*('III. Datos Entrada-BE'!C35+273)*303.16))))</f>
        <v>0.104</v>
      </c>
      <c r="E364" s="620">
        <f t="shared" si="42"/>
        <v>3.55</v>
      </c>
      <c r="F364" s="675">
        <f>(E364*'III. Datos Entrada-BE'!J82*'III. Datos Entrada-BE'!$J$191*C364*0.8)+G364</f>
        <v>0</v>
      </c>
      <c r="G364" s="670">
        <f>IF('III. Datos Entrada-BE'!$E$164=B363,0,IF('III. Datos Entrada-BE'!$F$164=B363,0,IF('III. Datos Entrada-BE'!$G$164=B363,0,IF('III. Datos Entrada-BE'!$C$164="Sí",0,(F363-H363)))))</f>
        <v>0</v>
      </c>
      <c r="H364" s="668">
        <f t="shared" si="44"/>
        <v>0</v>
      </c>
      <c r="I364" s="668">
        <f>IF('III. Datos Entrada-BE'!D35=0,0,H364*'III. Datos Entrada-BE'!$C$127*0.717*0.001)*('III. Datos Entrada-BE'!G35/'III. Datos Entrada-BE'!E35)</f>
        <v>0</v>
      </c>
      <c r="J364" s="676">
        <f t="shared" si="43"/>
        <v>0</v>
      </c>
      <c r="K364" s="38"/>
      <c r="L364" s="38"/>
      <c r="M364" s="39"/>
    </row>
    <row r="365" spans="2:18" x14ac:dyDescent="0.25">
      <c r="B365" s="529" t="str">
        <f>'III. Datos Entrada-BE'!$B$36</f>
        <v>mayo</v>
      </c>
      <c r="C365" s="667">
        <f>'III. Datos Entrada-BE'!$E$36</f>
        <v>31</v>
      </c>
      <c r="D365" s="675">
        <f>MIN(0.95, MAX(0.104,EXP(15175*(('III. Datos Entrada-BE'!C36+273)-303.16)/(1.987*('III. Datos Entrada-BE'!C36+273)*303.16))))</f>
        <v>0.104</v>
      </c>
      <c r="E365" s="620">
        <f t="shared" si="42"/>
        <v>3.55</v>
      </c>
      <c r="F365" s="675">
        <f>(E365*'III. Datos Entrada-BE'!J83*'III. Datos Entrada-BE'!$J$191*C365*0.8)+G365</f>
        <v>0</v>
      </c>
      <c r="G365" s="670">
        <f>IF('III. Datos Entrada-BE'!$E$164=B364,0,IF('III. Datos Entrada-BE'!$F$164=B364,0,IF('III. Datos Entrada-BE'!$G$164=B364,0,IF('III. Datos Entrada-BE'!$C$164="Sí",0,(F364-H364)))))</f>
        <v>0</v>
      </c>
      <c r="H365" s="668">
        <f t="shared" si="44"/>
        <v>0</v>
      </c>
      <c r="I365" s="668">
        <f>IF('III. Datos Entrada-BE'!D36=0,0,H365*'III. Datos Entrada-BE'!$C$127*0.717*0.001)*('III. Datos Entrada-BE'!G36/'III. Datos Entrada-BE'!E36)</f>
        <v>0</v>
      </c>
      <c r="J365" s="676">
        <f t="shared" si="43"/>
        <v>0</v>
      </c>
    </row>
    <row r="366" spans="2:18" ht="13" x14ac:dyDescent="0.3">
      <c r="B366" s="529" t="str">
        <f>'III. Datos Entrada-BE'!$B$37</f>
        <v>junio</v>
      </c>
      <c r="C366" s="667">
        <f>'III. Datos Entrada-BE'!$E$37</f>
        <v>30</v>
      </c>
      <c r="D366" s="675">
        <f>MIN(0.95, MAX(0.104,EXP(15175*(('III. Datos Entrada-BE'!C37+273)-303.16)/(1.987*('III. Datos Entrada-BE'!C37+273)*303.16))))</f>
        <v>0.104</v>
      </c>
      <c r="E366" s="620">
        <f t="shared" si="42"/>
        <v>3.55</v>
      </c>
      <c r="F366" s="675">
        <f>(E366*'III. Datos Entrada-BE'!J84*'III. Datos Entrada-BE'!$J$191*C366*0.8)+G366</f>
        <v>0</v>
      </c>
      <c r="G366" s="670">
        <f>IF('III. Datos Entrada-BE'!$E$164=B365,0,IF('III. Datos Entrada-BE'!$F$164=B365,0,IF('III. Datos Entrada-BE'!$G$164=B365,0,IF('III. Datos Entrada-BE'!$C$164="Sí",0,(F365-H365)))))</f>
        <v>0</v>
      </c>
      <c r="H366" s="668">
        <f t="shared" si="44"/>
        <v>0</v>
      </c>
      <c r="I366" s="668">
        <f>IF('III. Datos Entrada-BE'!D37=0,0,H366*'III. Datos Entrada-BE'!$C$127*0.717*0.001)*('III. Datos Entrada-BE'!G37/'III. Datos Entrada-BE'!E37)</f>
        <v>0</v>
      </c>
      <c r="J366" s="676">
        <f t="shared" si="43"/>
        <v>0</v>
      </c>
      <c r="K366" s="22"/>
      <c r="L366" s="22"/>
      <c r="M366" s="22"/>
      <c r="O366" s="22"/>
      <c r="P366" s="20"/>
      <c r="Q366" s="20"/>
      <c r="R366" s="20"/>
    </row>
    <row r="367" spans="2:18" ht="13" x14ac:dyDescent="0.3">
      <c r="B367" s="529" t="str">
        <f>'III. Datos Entrada-BE'!$B$38</f>
        <v>julio</v>
      </c>
      <c r="C367" s="667">
        <f>'III. Datos Entrada-BE'!$E$38</f>
        <v>31</v>
      </c>
      <c r="D367" s="675">
        <f>MIN(0.95, MAX(0.104,EXP(15175*(('III. Datos Entrada-BE'!C38+273)-303.16)/(1.987*('III. Datos Entrada-BE'!C38+273)*303.16))))</f>
        <v>0.104</v>
      </c>
      <c r="E367" s="620">
        <f t="shared" si="42"/>
        <v>3.55</v>
      </c>
      <c r="F367" s="675">
        <f>(E367*'III. Datos Entrada-BE'!J85*'III. Datos Entrada-BE'!$J$191*C367*0.8)+G367</f>
        <v>0</v>
      </c>
      <c r="G367" s="670">
        <f>IF('III. Datos Entrada-BE'!$E$164=B366,0,IF('III. Datos Entrada-BE'!$F$164=B366,0,IF('III. Datos Entrada-BE'!$G$164=B366,0,IF('III. Datos Entrada-BE'!$C$164="Sí",0,(F366-H366)))))</f>
        <v>0</v>
      </c>
      <c r="H367" s="668">
        <f t="shared" si="44"/>
        <v>0</v>
      </c>
      <c r="I367" s="668">
        <f>IF('III. Datos Entrada-BE'!D38=0,0,H367*'III. Datos Entrada-BE'!$C$127*0.717*0.001)*('III. Datos Entrada-BE'!G38/'III. Datos Entrada-BE'!E38)</f>
        <v>0</v>
      </c>
      <c r="J367" s="676">
        <f t="shared" si="43"/>
        <v>0</v>
      </c>
      <c r="K367" s="22"/>
      <c r="L367" s="22"/>
      <c r="M367" s="22"/>
      <c r="O367" s="22"/>
      <c r="P367" s="20"/>
      <c r="Q367" s="20"/>
      <c r="R367" s="20"/>
    </row>
    <row r="368" spans="2:18" ht="13" x14ac:dyDescent="0.3">
      <c r="B368" s="529" t="str">
        <f>'III. Datos Entrada-BE'!$B$39</f>
        <v>agosto</v>
      </c>
      <c r="C368" s="667">
        <f>'III. Datos Entrada-BE'!$E$39</f>
        <v>31</v>
      </c>
      <c r="D368" s="675">
        <f>MIN(0.95, MAX(0.104,EXP(15175*(('III. Datos Entrada-BE'!C39+273)-303.16)/(1.987*('III. Datos Entrada-BE'!C39+273)*303.16))))</f>
        <v>0.104</v>
      </c>
      <c r="E368" s="620">
        <f t="shared" si="42"/>
        <v>3.55</v>
      </c>
      <c r="F368" s="675">
        <f>(E368*'III. Datos Entrada-BE'!J86*'III. Datos Entrada-BE'!$J$191*C368*0.8)+G368</f>
        <v>0</v>
      </c>
      <c r="G368" s="670">
        <f>IF('III. Datos Entrada-BE'!$E$164=B367,0,IF('III. Datos Entrada-BE'!$F$164=B367,0,IF('III. Datos Entrada-BE'!$G$164=B367,0,IF('III. Datos Entrada-BE'!$C$164="Sí",0,(F367-H367)))))</f>
        <v>0</v>
      </c>
      <c r="H368" s="668">
        <f t="shared" si="44"/>
        <v>0</v>
      </c>
      <c r="I368" s="668">
        <f>IF('III. Datos Entrada-BE'!D39=0,0,H368*'III. Datos Entrada-BE'!$C$127*0.717*0.001)*('III. Datos Entrada-BE'!G39/'III. Datos Entrada-BE'!E39)</f>
        <v>0</v>
      </c>
      <c r="J368" s="676">
        <f t="shared" si="43"/>
        <v>0</v>
      </c>
      <c r="K368" s="22"/>
      <c r="L368" s="22"/>
      <c r="M368" s="22"/>
      <c r="O368" s="22"/>
      <c r="P368" s="20"/>
      <c r="Q368" s="20"/>
      <c r="R368" s="20"/>
    </row>
    <row r="369" spans="2:13" x14ac:dyDescent="0.25">
      <c r="B369" s="529" t="str">
        <f>'III. Datos Entrada-BE'!$B$40</f>
        <v>septiembre</v>
      </c>
      <c r="C369" s="667">
        <f>'III. Datos Entrada-BE'!$E$40</f>
        <v>30</v>
      </c>
      <c r="D369" s="675">
        <f>MIN(0.95, MAX(0.104,EXP(15175*(('III. Datos Entrada-BE'!C40+273)-303.16)/(1.987*('III. Datos Entrada-BE'!C40+273)*303.16))))</f>
        <v>0.104</v>
      </c>
      <c r="E369" s="620">
        <f t="shared" si="42"/>
        <v>3.55</v>
      </c>
      <c r="F369" s="675">
        <f>(E369*'III. Datos Entrada-BE'!J87*'III. Datos Entrada-BE'!$J$191*C369*0.8)+G369</f>
        <v>0</v>
      </c>
      <c r="G369" s="670">
        <f>IF('III. Datos Entrada-BE'!$E$164=B368,0,IF('III. Datos Entrada-BE'!$F$164=B368,0,IF('III. Datos Entrada-BE'!$G$164=B368,0,IF('III. Datos Entrada-BE'!$C$164="Sí",0,(F368-H368)))))</f>
        <v>0</v>
      </c>
      <c r="H369" s="668">
        <f t="shared" si="44"/>
        <v>0</v>
      </c>
      <c r="I369" s="668">
        <f>IF('III. Datos Entrada-BE'!D40=0,0,H369*'III. Datos Entrada-BE'!$C$127*0.717*0.001)*('III. Datos Entrada-BE'!G40/'III. Datos Entrada-BE'!E40)</f>
        <v>0</v>
      </c>
      <c r="J369" s="676">
        <f t="shared" si="43"/>
        <v>0</v>
      </c>
      <c r="K369" s="20"/>
      <c r="L369" s="20"/>
      <c r="M369" s="20"/>
    </row>
    <row r="370" spans="2:13" x14ac:dyDescent="0.25">
      <c r="B370" s="529" t="str">
        <f>'III. Datos Entrada-BE'!$B$41</f>
        <v>octubre</v>
      </c>
      <c r="C370" s="667">
        <f>'III. Datos Entrada-BE'!$E$41</f>
        <v>31</v>
      </c>
      <c r="D370" s="675">
        <f>MIN(0.95, MAX(0.104,EXP(15175*(('III. Datos Entrada-BE'!C41+273)-303.16)/(1.987*('III. Datos Entrada-BE'!C41+273)*303.16))))</f>
        <v>0.104</v>
      </c>
      <c r="E370" s="620">
        <f t="shared" si="42"/>
        <v>3.55</v>
      </c>
      <c r="F370" s="675">
        <f>(E370*'III. Datos Entrada-BE'!J88*'III. Datos Entrada-BE'!$J$191*C370*0.8)+G370</f>
        <v>0</v>
      </c>
      <c r="G370" s="670">
        <f>IF('III. Datos Entrada-BE'!$E$164=B369,0,IF('III. Datos Entrada-BE'!$F$164=B369,0,IF('III. Datos Entrada-BE'!$G$164=B369,0,IF('III. Datos Entrada-BE'!$C$164="Sí",0,(F369-H369)))))</f>
        <v>0</v>
      </c>
      <c r="H370" s="668">
        <f t="shared" si="44"/>
        <v>0</v>
      </c>
      <c r="I370" s="668">
        <f>IF('III. Datos Entrada-BE'!D41=0,0,H370*'III. Datos Entrada-BE'!$C$127*0.717*0.001)*('III. Datos Entrada-BE'!G41/'III. Datos Entrada-BE'!E41)</f>
        <v>0</v>
      </c>
      <c r="J370" s="676">
        <f t="shared" si="43"/>
        <v>0</v>
      </c>
      <c r="K370" s="45"/>
      <c r="L370" s="45"/>
    </row>
    <row r="371" spans="2:13" x14ac:dyDescent="0.25">
      <c r="B371" s="529" t="str">
        <f>'III. Datos Entrada-BE'!$B$42</f>
        <v>noviembre</v>
      </c>
      <c r="C371" s="667">
        <f>'III. Datos Entrada-BE'!$E$42</f>
        <v>30</v>
      </c>
      <c r="D371" s="675">
        <f>MIN(0.95, MAX(0.104,EXP(15175*(('III. Datos Entrada-BE'!C42+273)-303.16)/(1.987*('III. Datos Entrada-BE'!C42+273)*303.16))))</f>
        <v>0.104</v>
      </c>
      <c r="E371" s="620">
        <f t="shared" si="42"/>
        <v>3.55</v>
      </c>
      <c r="F371" s="675">
        <f>(E371*'III. Datos Entrada-BE'!J89*'III. Datos Entrada-BE'!$J$191*C371*0.8)+G371</f>
        <v>0</v>
      </c>
      <c r="G371" s="670">
        <f>IF('III. Datos Entrada-BE'!$E$164=B370,0,IF('III. Datos Entrada-BE'!$F$164=B370,0,IF('III. Datos Entrada-BE'!$G$164=B370,0,IF('III. Datos Entrada-BE'!$C$164="Sí",0,(F370-H370)))))</f>
        <v>0</v>
      </c>
      <c r="H371" s="668">
        <f t="shared" si="44"/>
        <v>0</v>
      </c>
      <c r="I371" s="668">
        <f>IF('III. Datos Entrada-BE'!D42=0,0,H371*'III. Datos Entrada-BE'!$C$127*0.717*0.001)*('III. Datos Entrada-BE'!G42/'III. Datos Entrada-BE'!E42)</f>
        <v>0</v>
      </c>
      <c r="J371" s="676">
        <f t="shared" si="43"/>
        <v>0</v>
      </c>
    </row>
    <row r="372" spans="2:13" ht="13" thickBot="1" x14ac:dyDescent="0.3">
      <c r="B372" s="553" t="str">
        <f>'III. Datos Entrada-BE'!$B$43</f>
        <v>diciembre</v>
      </c>
      <c r="C372" s="671">
        <f>'III. Datos Entrada-BE'!$E$43</f>
        <v>31</v>
      </c>
      <c r="D372" s="677">
        <f>MIN(0.95, MAX(0.104,EXP(15175*(('III. Datos Entrada-BE'!C43+273)-303.16)/(1.987*('III. Datos Entrada-BE'!C43+273)*303.16))))</f>
        <v>0.104</v>
      </c>
      <c r="E372" s="678">
        <f t="shared" si="42"/>
        <v>3.55</v>
      </c>
      <c r="F372" s="677">
        <f>(E372*'III. Datos Entrada-BE'!J90*'III. Datos Entrada-BE'!$J$191*C372*0.8)+G372</f>
        <v>0</v>
      </c>
      <c r="G372" s="670">
        <f>IF('III. Datos Entrada-BE'!$E$164=B371,0,IF('III. Datos Entrada-BE'!$F$164=B371,0,IF('III. Datos Entrada-BE'!$G$164=B371,0,IF('III. Datos Entrada-BE'!$C$164="Sí",0,(F371-H371)))))</f>
        <v>0</v>
      </c>
      <c r="H372" s="575">
        <f t="shared" si="44"/>
        <v>0</v>
      </c>
      <c r="I372" s="575">
        <f>IF('III. Datos Entrada-BE'!D43=0,0,H372*'III. Datos Entrada-BE'!$C$127*0.717*0.001)*('III. Datos Entrada-BE'!G43/'III. Datos Entrada-BE'!E43)</f>
        <v>0</v>
      </c>
      <c r="J372" s="676">
        <f t="shared" si="43"/>
        <v>0</v>
      </c>
    </row>
    <row r="373" spans="2:13" ht="13.5" thickBot="1" x14ac:dyDescent="0.35">
      <c r="B373" s="27" t="s">
        <v>166</v>
      </c>
      <c r="C373" s="504"/>
      <c r="D373" s="505"/>
      <c r="E373" s="505"/>
      <c r="F373" s="506"/>
      <c r="G373" s="507"/>
      <c r="H373" s="906">
        <f>SUM(H361:H372)</f>
        <v>0</v>
      </c>
      <c r="I373" s="376">
        <f>SUM(I361:I372)</f>
        <v>0</v>
      </c>
      <c r="J373" s="54">
        <f>SUM(J361:J372)</f>
        <v>0</v>
      </c>
    </row>
    <row r="374" spans="2:13" ht="13.5" thickBot="1" x14ac:dyDescent="0.35">
      <c r="B374" s="9"/>
      <c r="C374" s="70"/>
      <c r="D374" s="12"/>
      <c r="E374" s="12"/>
      <c r="F374" s="8"/>
      <c r="G374" s="8"/>
      <c r="H374" s="12"/>
      <c r="I374" s="12"/>
      <c r="J374" s="8"/>
    </row>
    <row r="375" spans="2:13" ht="30" customHeight="1" thickBot="1" x14ac:dyDescent="0.35">
      <c r="B375" s="1232" t="s">
        <v>928</v>
      </c>
      <c r="C375" s="1233"/>
      <c r="D375" s="1233"/>
      <c r="E375" s="1233"/>
      <c r="F375" s="1234"/>
      <c r="G375" s="456">
        <f>IF('III. Datos Entrada-BE'!C$164="Sí",0,IF('III. Datos Entrada-BE'!E$164=B372,0,IF('III. Datos Entrada-BE'!F$164='V. BE CH4-AS'!B372,0,IF('III. Datos Entrada-BE'!G$164='V. BE CH4-AS'!B372,0,F372-H372))))</f>
        <v>0</v>
      </c>
      <c r="H375" s="12"/>
      <c r="I375" s="12"/>
      <c r="J375" s="8"/>
    </row>
    <row r="376" spans="2:13" ht="128" thickBot="1" x14ac:dyDescent="0.35">
      <c r="G376" s="46" t="s">
        <v>927</v>
      </c>
      <c r="H376" s="12"/>
      <c r="I376" s="12"/>
      <c r="J376" s="8"/>
    </row>
    <row r="377" spans="2:13" ht="13.5" thickBot="1" x14ac:dyDescent="0.35">
      <c r="B377" s="9"/>
      <c r="C377" s="53"/>
    </row>
    <row r="378" spans="2:13" ht="13" x14ac:dyDescent="0.3">
      <c r="B378" s="9"/>
      <c r="C378" s="53"/>
      <c r="E378" s="1083" t="s">
        <v>924</v>
      </c>
      <c r="F378" s="1109"/>
      <c r="G378" s="1109"/>
      <c r="H378" s="1109"/>
      <c r="I378" s="1109"/>
      <c r="J378" s="1110"/>
    </row>
    <row r="379" spans="2:13" ht="13" x14ac:dyDescent="0.3">
      <c r="B379" s="9"/>
      <c r="C379" s="53"/>
      <c r="E379" s="1107"/>
      <c r="F379" s="1111"/>
      <c r="G379" s="1111"/>
      <c r="H379" s="1111"/>
      <c r="I379" s="1111"/>
      <c r="J379" s="1112"/>
    </row>
    <row r="380" spans="2:13" ht="13.5" thickBot="1" x14ac:dyDescent="0.35">
      <c r="B380" s="9"/>
      <c r="C380" s="53"/>
      <c r="E380" s="1113"/>
      <c r="F380" s="1114"/>
      <c r="G380" s="1114"/>
      <c r="H380" s="1114"/>
      <c r="I380" s="1114"/>
      <c r="J380" s="1115"/>
    </row>
    <row r="381" spans="2:13" ht="26" x14ac:dyDescent="0.3">
      <c r="B381" s="23" t="str">
        <f>B357</f>
        <v>Vacas (en pastos/pastizales) 
Cows (in pasture/rangeland)</v>
      </c>
      <c r="C381" s="24">
        <f>'III. Datos Entrada-BE'!B137</f>
        <v>0</v>
      </c>
      <c r="D381" s="25"/>
      <c r="E381" s="12"/>
      <c r="F381" s="12"/>
      <c r="G381" s="12"/>
      <c r="H381" s="12"/>
      <c r="I381" s="12"/>
      <c r="J381" s="12"/>
    </row>
    <row r="382" spans="2:13" ht="15" x14ac:dyDescent="0.4">
      <c r="B382" s="574" t="s">
        <v>158</v>
      </c>
      <c r="C382" s="666">
        <f>C358</f>
        <v>3.55</v>
      </c>
      <c r="E382" s="8"/>
      <c r="F382" s="12"/>
      <c r="G382" s="12"/>
      <c r="H382" s="12"/>
      <c r="I382" s="12"/>
      <c r="J382" s="12"/>
    </row>
    <row r="383" spans="2:13" ht="13.5" thickBot="1" x14ac:dyDescent="0.35">
      <c r="B383" s="69"/>
      <c r="C383" s="420"/>
      <c r="E383" s="8"/>
      <c r="F383" s="12"/>
      <c r="G383" s="12"/>
      <c r="H383" s="12"/>
      <c r="I383" s="12"/>
      <c r="J383" s="12"/>
    </row>
    <row r="384" spans="2:13" ht="27.5" thickBot="1" x14ac:dyDescent="0.45">
      <c r="B384" s="905" t="s">
        <v>442</v>
      </c>
      <c r="C384" s="269" t="s">
        <v>922</v>
      </c>
      <c r="D384" s="59" t="s">
        <v>159</v>
      </c>
      <c r="E384" s="60" t="s">
        <v>160</v>
      </c>
      <c r="F384" s="61" t="s">
        <v>161</v>
      </c>
      <c r="G384" s="60" t="s">
        <v>162</v>
      </c>
      <c r="H384" s="61" t="s">
        <v>163</v>
      </c>
      <c r="I384" s="62" t="s">
        <v>164</v>
      </c>
      <c r="J384" s="63" t="s">
        <v>165</v>
      </c>
    </row>
    <row r="385" spans="2:16" ht="13" x14ac:dyDescent="0.3">
      <c r="B385" s="29" t="str">
        <f>'III. Datos Entrada-BE'!$B$32</f>
        <v>enero</v>
      </c>
      <c r="C385" s="416">
        <f>'III. Datos Entrada-BE'!$E$32</f>
        <v>31</v>
      </c>
      <c r="D385" s="50">
        <f>MIN(0.95, MAX(0.104,EXP(15175*(('III. Datos Entrada-BE'!C32+273)-303.16)/(1.987*('III. Datos Entrada-BE'!C32+273)*303.16))))</f>
        <v>0.104</v>
      </c>
      <c r="E385" s="51">
        <f t="shared" ref="E385:E396" si="45">$C$382</f>
        <v>3.55</v>
      </c>
      <c r="F385" s="50">
        <f>(E385*'III. Datos Entrada-BE'!J79*'III. Datos Entrada-BE'!$J$192*C385*0.8)+G385</f>
        <v>0</v>
      </c>
      <c r="G385" s="32"/>
      <c r="H385" s="31">
        <f>F385*D385</f>
        <v>0</v>
      </c>
      <c r="I385" s="31">
        <f>IF('III. Datos Entrada-BE'!D32=0,0,H385*'III. Datos Entrada-BE'!$C$127*0.717*0.001)*('III. Datos Entrada-BE'!G32/'III. Datos Entrada-BE'!E32)</f>
        <v>0</v>
      </c>
      <c r="J385" s="33">
        <f t="shared" ref="J385:J396" si="46">I385*PCG</f>
        <v>0</v>
      </c>
      <c r="K385" s="22"/>
      <c r="L385" s="22"/>
      <c r="M385" s="22"/>
      <c r="O385" s="10"/>
    </row>
    <row r="386" spans="2:16" x14ac:dyDescent="0.25">
      <c r="B386" s="529" t="str">
        <f>'III. Datos Entrada-BE'!$B$33</f>
        <v>febrero</v>
      </c>
      <c r="C386" s="667">
        <f>'III. Datos Entrada-BE'!$E$33</f>
        <v>28</v>
      </c>
      <c r="D386" s="675">
        <f>MIN(0.95, MAX(0.104,EXP(15175*(('III. Datos Entrada-BE'!C33+273)-303.16)/(1.987*('III. Datos Entrada-BE'!C33+273)*303.16))))</f>
        <v>0.104</v>
      </c>
      <c r="E386" s="620">
        <f t="shared" si="45"/>
        <v>3.55</v>
      </c>
      <c r="F386" s="675">
        <f>(E386*'III. Datos Entrada-BE'!J80*'III. Datos Entrada-BE'!$J$192*C386*0.8)+G386</f>
        <v>0</v>
      </c>
      <c r="G386" s="670">
        <f>IF('III. Datos Entrada-BE'!$E$165=B385,0,IF('III. Datos Entrada-BE'!$F$165=B385,0,IF('III. Datos Entrada-BE'!$G$165=B385,0,IF('III. Datos Entrada-BE'!$C$165="Sí",0,(F385-H385)))))</f>
        <v>0</v>
      </c>
      <c r="H386" s="668">
        <f t="shared" ref="H386:H396" si="47">F386*D386</f>
        <v>0</v>
      </c>
      <c r="I386" s="668">
        <f>IF('III. Datos Entrada-BE'!D33=0,0,H386*'III. Datos Entrada-BE'!$C$127*0.717*0.001)*('III. Datos Entrada-BE'!G33/'III. Datos Entrada-BE'!E33)</f>
        <v>0</v>
      </c>
      <c r="J386" s="676">
        <f t="shared" si="46"/>
        <v>0</v>
      </c>
      <c r="K386" s="20"/>
      <c r="L386" s="20"/>
      <c r="M386" s="20"/>
    </row>
    <row r="387" spans="2:16" x14ac:dyDescent="0.25">
      <c r="B387" s="529" t="str">
        <f>'III. Datos Entrada-BE'!$B$34</f>
        <v>marzo</v>
      </c>
      <c r="C387" s="667">
        <f>'III. Datos Entrada-BE'!$E$34</f>
        <v>31</v>
      </c>
      <c r="D387" s="675">
        <f>MIN(0.95, MAX(0.104,EXP(15175*(('III. Datos Entrada-BE'!C34+273)-303.16)/(1.987*('III. Datos Entrada-BE'!C34+273)*303.16))))</f>
        <v>0.104</v>
      </c>
      <c r="E387" s="620">
        <f t="shared" si="45"/>
        <v>3.55</v>
      </c>
      <c r="F387" s="675">
        <f>(E387*'III. Datos Entrada-BE'!J81*'III. Datos Entrada-BE'!$J$192*C387*0.8)+G387</f>
        <v>0</v>
      </c>
      <c r="G387" s="670">
        <f>IF('III. Datos Entrada-BE'!$E$165=B386,0,IF('III. Datos Entrada-BE'!$F$165=B386,0,IF('III. Datos Entrada-BE'!$G$165=B386,0,IF('III. Datos Entrada-BE'!$C$165="Sí",0,(F386-H386)))))</f>
        <v>0</v>
      </c>
      <c r="H387" s="668">
        <f t="shared" si="47"/>
        <v>0</v>
      </c>
      <c r="I387" s="668">
        <f>IF('III. Datos Entrada-BE'!D34=0,0,H387*'III. Datos Entrada-BE'!$C$127*0.717*0.001)*('III. Datos Entrada-BE'!G34/'III. Datos Entrada-BE'!E34)</f>
        <v>0</v>
      </c>
      <c r="J387" s="676">
        <f t="shared" si="46"/>
        <v>0</v>
      </c>
      <c r="K387" s="45"/>
      <c r="L387" s="45"/>
      <c r="O387" s="10"/>
      <c r="P387" s="18"/>
    </row>
    <row r="388" spans="2:16" ht="13" x14ac:dyDescent="0.3">
      <c r="B388" s="529" t="str">
        <f>'III. Datos Entrada-BE'!$B$35</f>
        <v>abril</v>
      </c>
      <c r="C388" s="667">
        <f>'III. Datos Entrada-BE'!$E$35</f>
        <v>30</v>
      </c>
      <c r="D388" s="675">
        <f>MIN(0.95, MAX(0.104,EXP(15175*(('III. Datos Entrada-BE'!C35+273)-303.16)/(1.987*('III. Datos Entrada-BE'!C35+273)*303.16))))</f>
        <v>0.104</v>
      </c>
      <c r="E388" s="620">
        <f t="shared" si="45"/>
        <v>3.55</v>
      </c>
      <c r="F388" s="675">
        <f>(E388*'III. Datos Entrada-BE'!J82*'III. Datos Entrada-BE'!$J$192*C388*0.8)+G388</f>
        <v>0</v>
      </c>
      <c r="G388" s="670">
        <f>IF('III. Datos Entrada-BE'!$E$165=B387,0,IF('III. Datos Entrada-BE'!$F$165=B387,0,IF('III. Datos Entrada-BE'!$G$165=B387,0,IF('III. Datos Entrada-BE'!$C$165="Sí",0,(F387-H387)))))</f>
        <v>0</v>
      </c>
      <c r="H388" s="668">
        <f t="shared" si="47"/>
        <v>0</v>
      </c>
      <c r="I388" s="668">
        <f>IF('III. Datos Entrada-BE'!D35=0,0,H388*'III. Datos Entrada-BE'!$C$127*0.717*0.001)*('III. Datos Entrada-BE'!G35/'III. Datos Entrada-BE'!E35)</f>
        <v>0</v>
      </c>
      <c r="J388" s="676">
        <f t="shared" si="46"/>
        <v>0</v>
      </c>
      <c r="N388" s="9"/>
      <c r="O388" s="10"/>
    </row>
    <row r="389" spans="2:16" x14ac:dyDescent="0.25">
      <c r="B389" s="529" t="str">
        <f>'III. Datos Entrada-BE'!$B$36</f>
        <v>mayo</v>
      </c>
      <c r="C389" s="667">
        <f>'III. Datos Entrada-BE'!$E$36</f>
        <v>31</v>
      </c>
      <c r="D389" s="675">
        <f>MIN(0.95, MAX(0.104,EXP(15175*(('III. Datos Entrada-BE'!C36+273)-303.16)/(1.987*('III. Datos Entrada-BE'!C36+273)*303.16))))</f>
        <v>0.104</v>
      </c>
      <c r="E389" s="620">
        <f t="shared" si="45"/>
        <v>3.55</v>
      </c>
      <c r="F389" s="675">
        <f>(E389*'III. Datos Entrada-BE'!J83*'III. Datos Entrada-BE'!$J$192*C389*0.8)+G389</f>
        <v>0</v>
      </c>
      <c r="G389" s="670">
        <f>IF('III. Datos Entrada-BE'!$E$165=B388,0,IF('III. Datos Entrada-BE'!$F$165=B388,0,IF('III. Datos Entrada-BE'!$G$165=B388,0,IF('III. Datos Entrada-BE'!$C$165="Sí",0,(F388-H388)))))</f>
        <v>0</v>
      </c>
      <c r="H389" s="668">
        <f t="shared" si="47"/>
        <v>0</v>
      </c>
      <c r="I389" s="668">
        <f>IF('III. Datos Entrada-BE'!D36=0,0,H389*'III. Datos Entrada-BE'!$C$127*0.717*0.001)*('III. Datos Entrada-BE'!G36/'III. Datos Entrada-BE'!E36)</f>
        <v>0</v>
      </c>
      <c r="J389" s="676">
        <f t="shared" si="46"/>
        <v>0</v>
      </c>
    </row>
    <row r="390" spans="2:16" x14ac:dyDescent="0.25">
      <c r="B390" s="529" t="str">
        <f>'III. Datos Entrada-BE'!$B$37</f>
        <v>junio</v>
      </c>
      <c r="C390" s="667">
        <f>'III. Datos Entrada-BE'!$E$37</f>
        <v>30</v>
      </c>
      <c r="D390" s="675">
        <f>MIN(0.95, MAX(0.104,EXP(15175*(('III. Datos Entrada-BE'!C37+273)-303.16)/(1.987*('III. Datos Entrada-BE'!C37+273)*303.16))))</f>
        <v>0.104</v>
      </c>
      <c r="E390" s="620">
        <f t="shared" si="45"/>
        <v>3.55</v>
      </c>
      <c r="F390" s="675">
        <f>(E390*'III. Datos Entrada-BE'!J84*'III. Datos Entrada-BE'!$J$192*C390*0.8)+G390</f>
        <v>0</v>
      </c>
      <c r="G390" s="670">
        <f>IF('III. Datos Entrada-BE'!$E$165=B389,0,IF('III. Datos Entrada-BE'!$F$165=B389,0,IF('III. Datos Entrada-BE'!$G$165=B389,0,IF('III. Datos Entrada-BE'!$C$165="Sí",0,(F389-H389)))))</f>
        <v>0</v>
      </c>
      <c r="H390" s="668">
        <f t="shared" si="47"/>
        <v>0</v>
      </c>
      <c r="I390" s="668">
        <f>IF('III. Datos Entrada-BE'!D37=0,0,H390*'III. Datos Entrada-BE'!$C$127*0.717*0.001)*('III. Datos Entrada-BE'!G37/'III. Datos Entrada-BE'!E37)</f>
        <v>0</v>
      </c>
      <c r="J390" s="676">
        <f t="shared" si="46"/>
        <v>0</v>
      </c>
    </row>
    <row r="391" spans="2:16" x14ac:dyDescent="0.25">
      <c r="B391" s="529" t="str">
        <f>'III. Datos Entrada-BE'!$B$38</f>
        <v>julio</v>
      </c>
      <c r="C391" s="667">
        <f>'III. Datos Entrada-BE'!$E$38</f>
        <v>31</v>
      </c>
      <c r="D391" s="675">
        <f>MIN(0.95, MAX(0.104,EXP(15175*(('III. Datos Entrada-BE'!C38+273)-303.16)/(1.987*('III. Datos Entrada-BE'!C38+273)*303.16))))</f>
        <v>0.104</v>
      </c>
      <c r="E391" s="620">
        <f t="shared" si="45"/>
        <v>3.55</v>
      </c>
      <c r="F391" s="675">
        <f>(E391*'III. Datos Entrada-BE'!J85*'III. Datos Entrada-BE'!$J$192*C391*0.8)+G391</f>
        <v>0</v>
      </c>
      <c r="G391" s="670">
        <f>IF('III. Datos Entrada-BE'!$E$165=B390,0,IF('III. Datos Entrada-BE'!$F$165=B390,0,IF('III. Datos Entrada-BE'!$G$165=B390,0,IF('III. Datos Entrada-BE'!$C$165="Sí",0,(F390-H390)))))</f>
        <v>0</v>
      </c>
      <c r="H391" s="668">
        <f t="shared" si="47"/>
        <v>0</v>
      </c>
      <c r="I391" s="668">
        <f>IF('III. Datos Entrada-BE'!D38=0,0,H391*'III. Datos Entrada-BE'!$C$127*0.717*0.001)*('III. Datos Entrada-BE'!G38/'III. Datos Entrada-BE'!E38)</f>
        <v>0</v>
      </c>
      <c r="J391" s="676">
        <f t="shared" si="46"/>
        <v>0</v>
      </c>
    </row>
    <row r="392" spans="2:16" x14ac:dyDescent="0.25">
      <c r="B392" s="529" t="str">
        <f>'III. Datos Entrada-BE'!$B$39</f>
        <v>agosto</v>
      </c>
      <c r="C392" s="667">
        <f>'III. Datos Entrada-BE'!$E$39</f>
        <v>31</v>
      </c>
      <c r="D392" s="675">
        <f>MIN(0.95, MAX(0.104,EXP(15175*(('III. Datos Entrada-BE'!C39+273)-303.16)/(1.987*('III. Datos Entrada-BE'!C39+273)*303.16))))</f>
        <v>0.104</v>
      </c>
      <c r="E392" s="620">
        <f t="shared" si="45"/>
        <v>3.55</v>
      </c>
      <c r="F392" s="675">
        <f>(E392*'III. Datos Entrada-BE'!J86*'III. Datos Entrada-BE'!$J$192*C392*0.8)+G392</f>
        <v>0</v>
      </c>
      <c r="G392" s="670">
        <f>IF('III. Datos Entrada-BE'!$E$165=B391,0,IF('III. Datos Entrada-BE'!$F$165=B391,0,IF('III. Datos Entrada-BE'!$G$165=B391,0,IF('III. Datos Entrada-BE'!$C$165="Sí",0,(F391-H391)))))</f>
        <v>0</v>
      </c>
      <c r="H392" s="668">
        <f t="shared" si="47"/>
        <v>0</v>
      </c>
      <c r="I392" s="668">
        <f>IF('III. Datos Entrada-BE'!D39=0,0,H392*'III. Datos Entrada-BE'!$C$127*0.717*0.001)*('III. Datos Entrada-BE'!G39/'III. Datos Entrada-BE'!E39)</f>
        <v>0</v>
      </c>
      <c r="J392" s="676">
        <f t="shared" si="46"/>
        <v>0</v>
      </c>
    </row>
    <row r="393" spans="2:16" x14ac:dyDescent="0.25">
      <c r="B393" s="529" t="str">
        <f>'III. Datos Entrada-BE'!$B$40</f>
        <v>septiembre</v>
      </c>
      <c r="C393" s="667">
        <f>'III. Datos Entrada-BE'!$E$40</f>
        <v>30</v>
      </c>
      <c r="D393" s="675">
        <f>MIN(0.95, MAX(0.104,EXP(15175*(('III. Datos Entrada-BE'!C40+273)-303.16)/(1.987*('III. Datos Entrada-BE'!C40+273)*303.16))))</f>
        <v>0.104</v>
      </c>
      <c r="E393" s="620">
        <f t="shared" si="45"/>
        <v>3.55</v>
      </c>
      <c r="F393" s="675">
        <f>(E393*'III. Datos Entrada-BE'!J87*'III. Datos Entrada-BE'!$J$192*C393*0.8)+G393</f>
        <v>0</v>
      </c>
      <c r="G393" s="670">
        <f>IF('III. Datos Entrada-BE'!$E$165=B392,0,IF('III. Datos Entrada-BE'!$F$165=B392,0,IF('III. Datos Entrada-BE'!$G$165=B392,0,IF('III. Datos Entrada-BE'!$C$165="Sí",0,(F392-H392)))))</f>
        <v>0</v>
      </c>
      <c r="H393" s="668">
        <f t="shared" si="47"/>
        <v>0</v>
      </c>
      <c r="I393" s="668">
        <f>IF('III. Datos Entrada-BE'!D40=0,0,H393*'III. Datos Entrada-BE'!$C$127*0.717*0.001)*('III. Datos Entrada-BE'!G40/'III. Datos Entrada-BE'!E40)</f>
        <v>0</v>
      </c>
      <c r="J393" s="676">
        <f t="shared" si="46"/>
        <v>0</v>
      </c>
    </row>
    <row r="394" spans="2:16" x14ac:dyDescent="0.25">
      <c r="B394" s="529" t="str">
        <f>'III. Datos Entrada-BE'!$B$41</f>
        <v>octubre</v>
      </c>
      <c r="C394" s="667">
        <f>'III. Datos Entrada-BE'!$E$41</f>
        <v>31</v>
      </c>
      <c r="D394" s="675">
        <f>MIN(0.95, MAX(0.104,EXP(15175*(('III. Datos Entrada-BE'!C41+273)-303.16)/(1.987*('III. Datos Entrada-BE'!C41+273)*303.16))))</f>
        <v>0.104</v>
      </c>
      <c r="E394" s="620">
        <f t="shared" si="45"/>
        <v>3.55</v>
      </c>
      <c r="F394" s="675">
        <f>(E394*'III. Datos Entrada-BE'!J88*'III. Datos Entrada-BE'!$J$192*C394*0.8)+G394</f>
        <v>0</v>
      </c>
      <c r="G394" s="670">
        <f>IF('III. Datos Entrada-BE'!$E$165=B393,0,IF('III. Datos Entrada-BE'!$F$165=B393,0,IF('III. Datos Entrada-BE'!$G$165=B393,0,IF('III. Datos Entrada-BE'!$C$165="Sí",0,(F393-H393)))))</f>
        <v>0</v>
      </c>
      <c r="H394" s="668">
        <f t="shared" si="47"/>
        <v>0</v>
      </c>
      <c r="I394" s="668">
        <f>IF('III. Datos Entrada-BE'!D41=0,0,H394*'III. Datos Entrada-BE'!$C$127*0.717*0.001)*('III. Datos Entrada-BE'!G41/'III. Datos Entrada-BE'!E41)</f>
        <v>0</v>
      </c>
      <c r="J394" s="676">
        <f t="shared" si="46"/>
        <v>0</v>
      </c>
    </row>
    <row r="395" spans="2:16" x14ac:dyDescent="0.25">
      <c r="B395" s="529" t="str">
        <f>'III. Datos Entrada-BE'!$B$42</f>
        <v>noviembre</v>
      </c>
      <c r="C395" s="667">
        <f>'III. Datos Entrada-BE'!$E$42</f>
        <v>30</v>
      </c>
      <c r="D395" s="675">
        <f>MIN(0.95, MAX(0.104,EXP(15175*(('III. Datos Entrada-BE'!C42+273)-303.16)/(1.987*('III. Datos Entrada-BE'!C42+273)*303.16))))</f>
        <v>0.104</v>
      </c>
      <c r="E395" s="620">
        <f t="shared" si="45"/>
        <v>3.55</v>
      </c>
      <c r="F395" s="675">
        <f>(E395*'III. Datos Entrada-BE'!J89*'III. Datos Entrada-BE'!$J$192*C395*0.8)+G395</f>
        <v>0</v>
      </c>
      <c r="G395" s="670">
        <f>IF('III. Datos Entrada-BE'!$E$165=B394,0,IF('III. Datos Entrada-BE'!$F$165=B394,0,IF('III. Datos Entrada-BE'!$G$165=B394,0,IF('III. Datos Entrada-BE'!$C$165="Sí",0,(F394-H394)))))</f>
        <v>0</v>
      </c>
      <c r="H395" s="668">
        <f t="shared" si="47"/>
        <v>0</v>
      </c>
      <c r="I395" s="668">
        <f>IF('III. Datos Entrada-BE'!D42=0,0,H395*'III. Datos Entrada-BE'!$C$127*0.717*0.001)*('III. Datos Entrada-BE'!G42/'III. Datos Entrada-BE'!E42)</f>
        <v>0</v>
      </c>
      <c r="J395" s="676">
        <f t="shared" si="46"/>
        <v>0</v>
      </c>
    </row>
    <row r="396" spans="2:16" ht="13" thickBot="1" x14ac:dyDescent="0.3">
      <c r="B396" s="553" t="str">
        <f>'III. Datos Entrada-BE'!$B$43</f>
        <v>diciembre</v>
      </c>
      <c r="C396" s="671">
        <f>'III. Datos Entrada-BE'!$E$43</f>
        <v>31</v>
      </c>
      <c r="D396" s="677">
        <f>MIN(0.95, MAX(0.104,EXP(15175*(('III. Datos Entrada-BE'!C43+273)-303.16)/(1.987*('III. Datos Entrada-BE'!C43+273)*303.16))))</f>
        <v>0.104</v>
      </c>
      <c r="E396" s="678">
        <f t="shared" si="45"/>
        <v>3.55</v>
      </c>
      <c r="F396" s="677">
        <f>(E396*'III. Datos Entrada-BE'!J90*'III. Datos Entrada-BE'!$J$192*C396*0.8)+G396</f>
        <v>0</v>
      </c>
      <c r="G396" s="670">
        <f>IF('III. Datos Entrada-BE'!$E$165=B395,0,IF('III. Datos Entrada-BE'!$F$165=B395,0,IF('III. Datos Entrada-BE'!$G$165=B395,0,IF('III. Datos Entrada-BE'!$C$165="Sí",0,(F395-H395)))))</f>
        <v>0</v>
      </c>
      <c r="H396" s="575">
        <f t="shared" si="47"/>
        <v>0</v>
      </c>
      <c r="I396" s="575">
        <f>IF('III. Datos Entrada-BE'!D43=0,0,H396*'III. Datos Entrada-BE'!$C$127*0.717*0.001)*('III. Datos Entrada-BE'!G43/'III. Datos Entrada-BE'!E43)</f>
        <v>0</v>
      </c>
      <c r="J396" s="676">
        <f t="shared" si="46"/>
        <v>0</v>
      </c>
    </row>
    <row r="397" spans="2:16" ht="13.5" thickBot="1" x14ac:dyDescent="0.35">
      <c r="B397" s="27" t="s">
        <v>166</v>
      </c>
      <c r="C397" s="504"/>
      <c r="D397" s="505"/>
      <c r="E397" s="505"/>
      <c r="F397" s="506"/>
      <c r="G397" s="507"/>
      <c r="H397" s="906">
        <f>SUM(H385:H396)</f>
        <v>0</v>
      </c>
      <c r="I397" s="376">
        <f>SUM(I385:I396)</f>
        <v>0</v>
      </c>
      <c r="J397" s="54">
        <f>SUM(J385:J396)</f>
        <v>0</v>
      </c>
    </row>
    <row r="398" spans="2:16" ht="13.5" thickBot="1" x14ac:dyDescent="0.35">
      <c r="B398" s="9"/>
      <c r="C398" s="70"/>
      <c r="D398" s="12"/>
      <c r="E398" s="12"/>
      <c r="F398" s="8"/>
      <c r="G398" s="8"/>
      <c r="H398" s="12"/>
      <c r="I398" s="12"/>
      <c r="J398" s="8"/>
    </row>
    <row r="399" spans="2:16" ht="26" customHeight="1" thickBot="1" x14ac:dyDescent="0.35">
      <c r="B399" s="1232" t="s">
        <v>928</v>
      </c>
      <c r="C399" s="1233"/>
      <c r="D399" s="1233"/>
      <c r="E399" s="1233"/>
      <c r="F399" s="1234"/>
      <c r="G399" s="456">
        <f>IF('III. Datos Entrada-BE'!C$165="Sí",0,IF('III. Datos Entrada-BE'!E$165=B396,0,IF('III. Datos Entrada-BE'!F$165='V. BE CH4-AS'!B396,0,IF('III. Datos Entrada-BE'!G$165='V. BE CH4-AS'!B396,0,F396-H396))))</f>
        <v>0</v>
      </c>
      <c r="H399" s="12"/>
      <c r="I399" s="12"/>
      <c r="J399" s="8"/>
    </row>
    <row r="400" spans="2:16" ht="128" thickBot="1" x14ac:dyDescent="0.35">
      <c r="G400" s="46" t="s">
        <v>927</v>
      </c>
      <c r="H400" s="12"/>
      <c r="I400" s="12"/>
      <c r="J400" s="8"/>
    </row>
    <row r="401" spans="2:13" ht="13.5" thickBot="1" x14ac:dyDescent="0.35">
      <c r="B401" s="9"/>
      <c r="C401" s="53"/>
    </row>
    <row r="402" spans="2:13" s="9" customFormat="1" ht="13" x14ac:dyDescent="0.3">
      <c r="C402" s="70"/>
      <c r="D402" s="12"/>
      <c r="E402" s="1083" t="s">
        <v>924</v>
      </c>
      <c r="F402" s="1109"/>
      <c r="G402" s="1109"/>
      <c r="H402" s="1109"/>
      <c r="I402" s="1109"/>
      <c r="J402" s="1110"/>
      <c r="K402" s="38"/>
      <c r="L402" s="38"/>
      <c r="M402" s="39"/>
    </row>
    <row r="403" spans="2:13" s="9" customFormat="1" ht="13" x14ac:dyDescent="0.3">
      <c r="C403" s="70"/>
      <c r="D403" s="12"/>
      <c r="E403" s="1107"/>
      <c r="F403" s="1111"/>
      <c r="G403" s="1111"/>
      <c r="H403" s="1111"/>
      <c r="I403" s="1111"/>
      <c r="J403" s="1112"/>
      <c r="K403" s="38"/>
      <c r="L403" s="38"/>
      <c r="M403" s="39"/>
    </row>
    <row r="404" spans="2:13" s="9" customFormat="1" ht="13.5" thickBot="1" x14ac:dyDescent="0.35">
      <c r="C404" s="70"/>
      <c r="D404" s="12"/>
      <c r="E404" s="1113"/>
      <c r="F404" s="1114"/>
      <c r="G404" s="1114"/>
      <c r="H404" s="1114"/>
      <c r="I404" s="1114"/>
      <c r="J404" s="1115"/>
      <c r="K404" s="38"/>
      <c r="L404" s="38"/>
      <c r="M404" s="39"/>
    </row>
    <row r="405" spans="2:13" s="9" customFormat="1" ht="26" x14ac:dyDescent="0.3">
      <c r="B405" s="23" t="str">
        <f>'III. Datos Entrada-BE'!C61</f>
        <v>Cerdos de vivero 
Nursery swine</v>
      </c>
      <c r="C405" s="24">
        <f>'III. Datos Entrada-BE'!B136</f>
        <v>0</v>
      </c>
      <c r="D405" s="25"/>
      <c r="E405" s="12"/>
      <c r="F405" s="12"/>
      <c r="G405" s="12"/>
      <c r="H405" s="12"/>
      <c r="I405" s="12"/>
      <c r="J405" s="12"/>
      <c r="K405" s="38"/>
      <c r="L405" s="38"/>
      <c r="M405" s="39"/>
    </row>
    <row r="406" spans="2:13" s="9" customFormat="1" ht="15" x14ac:dyDescent="0.4">
      <c r="B406" s="574" t="s">
        <v>158</v>
      </c>
      <c r="C406" s="666">
        <f>'III. Datos Entrada-BE'!D112</f>
        <v>0.16600000000000001</v>
      </c>
      <c r="D406" s="3"/>
      <c r="E406" s="8"/>
      <c r="F406" s="12"/>
      <c r="G406" s="12"/>
      <c r="H406" s="12"/>
      <c r="I406" s="12"/>
      <c r="J406" s="12"/>
      <c r="K406" s="38"/>
      <c r="L406" s="38"/>
      <c r="M406" s="39"/>
    </row>
    <row r="407" spans="2:13" s="9" customFormat="1" ht="13.5" thickBot="1" x14ac:dyDescent="0.35">
      <c r="B407" s="69"/>
      <c r="C407" s="420"/>
      <c r="D407" s="3"/>
      <c r="E407" s="8"/>
      <c r="F407" s="12"/>
      <c r="G407" s="12"/>
      <c r="H407" s="12"/>
      <c r="I407" s="12"/>
      <c r="J407" s="12"/>
      <c r="K407" s="38"/>
      <c r="L407" s="38"/>
      <c r="M407" s="39"/>
    </row>
    <row r="408" spans="2:13" ht="27.5" thickBot="1" x14ac:dyDescent="0.45">
      <c r="B408" s="905" t="s">
        <v>442</v>
      </c>
      <c r="C408" s="269" t="s">
        <v>922</v>
      </c>
      <c r="D408" s="59" t="s">
        <v>159</v>
      </c>
      <c r="E408" s="60" t="s">
        <v>160</v>
      </c>
      <c r="F408" s="61" t="s">
        <v>161</v>
      </c>
      <c r="G408" s="60" t="s">
        <v>162</v>
      </c>
      <c r="H408" s="61" t="s">
        <v>163</v>
      </c>
      <c r="I408" s="62" t="s">
        <v>164</v>
      </c>
      <c r="J408" s="63" t="s">
        <v>165</v>
      </c>
    </row>
    <row r="409" spans="2:13" s="9" customFormat="1" ht="13" x14ac:dyDescent="0.3">
      <c r="B409" s="29" t="str">
        <f>'III. Datos Entrada-BE'!$B$32</f>
        <v>enero</v>
      </c>
      <c r="C409" s="416">
        <f>'III. Datos Entrada-BE'!$E$32</f>
        <v>31</v>
      </c>
      <c r="D409" s="50">
        <f>MIN(0.95, MAX(0.104,EXP(15175*(('III. Datos Entrada-BE'!C32+273)-303.16)/(1.987*('III. Datos Entrada-BE'!C32+273)*303.16))))</f>
        <v>0.104</v>
      </c>
      <c r="E409" s="51">
        <f t="shared" ref="E409:E420" si="48">$C$406</f>
        <v>0.16600000000000001</v>
      </c>
      <c r="F409" s="50">
        <f>(E409*'III. Datos Entrada-BE'!K79*'III. Datos Entrada-BE'!$K$191*C409*0.8)+G409</f>
        <v>0</v>
      </c>
      <c r="G409" s="32"/>
      <c r="H409" s="31">
        <f>F409*D409</f>
        <v>0</v>
      </c>
      <c r="I409" s="31">
        <f>IF('III. Datos Entrada-BE'!D32=0,0,H409*'III. Datos Entrada-BE'!$C$128*0.717*0.001)*('III. Datos Entrada-BE'!G32/'III. Datos Entrada-BE'!E32)</f>
        <v>0</v>
      </c>
      <c r="J409" s="33">
        <f t="shared" ref="J409:J420" si="49">I409*PCG</f>
        <v>0</v>
      </c>
      <c r="K409" s="38"/>
      <c r="L409" s="38"/>
      <c r="M409" s="39"/>
    </row>
    <row r="410" spans="2:13" s="9" customFormat="1" ht="13" x14ac:dyDescent="0.3">
      <c r="B410" s="529" t="str">
        <f>'III. Datos Entrada-BE'!$B$33</f>
        <v>febrero</v>
      </c>
      <c r="C410" s="667">
        <f>'III. Datos Entrada-BE'!$E$33</f>
        <v>28</v>
      </c>
      <c r="D410" s="675">
        <f>MIN(0.95, MAX(0.104,EXP(15175*(('III. Datos Entrada-BE'!C33+273)-303.16)/(1.987*('III. Datos Entrada-BE'!C33+273)*303.16))))</f>
        <v>0.104</v>
      </c>
      <c r="E410" s="620">
        <f t="shared" si="48"/>
        <v>0.16600000000000001</v>
      </c>
      <c r="F410" s="675">
        <f>(E410*'III. Datos Entrada-BE'!K80*'III. Datos Entrada-BE'!$K$191*C410*0.8)+G410</f>
        <v>0</v>
      </c>
      <c r="G410" s="670">
        <f>IF('III. Datos Entrada-BE'!$E$164=B409,0,IF('III. Datos Entrada-BE'!$F$164=B409,0,IF('III. Datos Entrada-BE'!$G$164=B409,0,IF('III. Datos Entrada-BE'!$C$164="Sí",0,(F409-H409)))))</f>
        <v>0</v>
      </c>
      <c r="H410" s="668">
        <f t="shared" ref="H410:H420" si="50">F410*D410</f>
        <v>0</v>
      </c>
      <c r="I410" s="668">
        <f>IF('III. Datos Entrada-BE'!D33=0,0,H410*'III. Datos Entrada-BE'!$C$128*0.717*0.001)*('III. Datos Entrada-BE'!G33/'III. Datos Entrada-BE'!E33)</f>
        <v>0</v>
      </c>
      <c r="J410" s="676">
        <f t="shared" si="49"/>
        <v>0</v>
      </c>
      <c r="K410" s="38"/>
      <c r="L410" s="38"/>
      <c r="M410" s="39"/>
    </row>
    <row r="411" spans="2:13" s="9" customFormat="1" ht="13" x14ac:dyDescent="0.3">
      <c r="B411" s="529" t="str">
        <f>'III. Datos Entrada-BE'!$B$34</f>
        <v>marzo</v>
      </c>
      <c r="C411" s="667">
        <f>'III. Datos Entrada-BE'!$E$34</f>
        <v>31</v>
      </c>
      <c r="D411" s="675">
        <f>MIN(0.95, MAX(0.104,EXP(15175*(('III. Datos Entrada-BE'!C34+273)-303.16)/(1.987*('III. Datos Entrada-BE'!C34+273)*303.16))))</f>
        <v>0.104</v>
      </c>
      <c r="E411" s="620">
        <f t="shared" si="48"/>
        <v>0.16600000000000001</v>
      </c>
      <c r="F411" s="675">
        <f>(E411*'III. Datos Entrada-BE'!K81*'III. Datos Entrada-BE'!$K$191*C411*0.8)+G411</f>
        <v>0</v>
      </c>
      <c r="G411" s="670">
        <f>IF('III. Datos Entrada-BE'!$E$164=B410,0,IF('III. Datos Entrada-BE'!$F$164=B410,0,IF('III. Datos Entrada-BE'!$G$164=B410,0,IF('III. Datos Entrada-BE'!$C$164="Sí",0,(F410-H410)))))</f>
        <v>0</v>
      </c>
      <c r="H411" s="668">
        <f t="shared" si="50"/>
        <v>0</v>
      </c>
      <c r="I411" s="668">
        <f>IF('III. Datos Entrada-BE'!D34=0,0,H411*'III. Datos Entrada-BE'!$C$128*0.717*0.001)*('III. Datos Entrada-BE'!G34/'III. Datos Entrada-BE'!E34)</f>
        <v>0</v>
      </c>
      <c r="J411" s="676">
        <f t="shared" si="49"/>
        <v>0</v>
      </c>
      <c r="K411" s="38"/>
      <c r="L411" s="38"/>
      <c r="M411" s="39"/>
    </row>
    <row r="412" spans="2:13" s="9" customFormat="1" ht="13" x14ac:dyDescent="0.3">
      <c r="B412" s="529" t="str">
        <f>'III. Datos Entrada-BE'!$B$35</f>
        <v>abril</v>
      </c>
      <c r="C412" s="667">
        <f>'III. Datos Entrada-BE'!$E$35</f>
        <v>30</v>
      </c>
      <c r="D412" s="675">
        <f>MIN(0.95, MAX(0.104,EXP(15175*(('III. Datos Entrada-BE'!C35+273)-303.16)/(1.987*('III. Datos Entrada-BE'!C35+273)*303.16))))</f>
        <v>0.104</v>
      </c>
      <c r="E412" s="620">
        <f t="shared" si="48"/>
        <v>0.16600000000000001</v>
      </c>
      <c r="F412" s="675">
        <f>(E412*'III. Datos Entrada-BE'!K82*'III. Datos Entrada-BE'!$K$191*C412*0.8)+G412</f>
        <v>0</v>
      </c>
      <c r="G412" s="670">
        <f>IF('III. Datos Entrada-BE'!$E$164=B411,0,IF('III. Datos Entrada-BE'!$F$164=B411,0,IF('III. Datos Entrada-BE'!$G$164=B411,0,IF('III. Datos Entrada-BE'!$C$164="Sí",0,(F411-H411)))))</f>
        <v>0</v>
      </c>
      <c r="H412" s="668">
        <f t="shared" si="50"/>
        <v>0</v>
      </c>
      <c r="I412" s="668">
        <f>IF('III. Datos Entrada-BE'!D35=0,0,H412*'III. Datos Entrada-BE'!$C$128*0.717*0.001)*('III. Datos Entrada-BE'!G35/'III. Datos Entrada-BE'!E35)</f>
        <v>0</v>
      </c>
      <c r="J412" s="676">
        <f t="shared" si="49"/>
        <v>0</v>
      </c>
      <c r="K412" s="38"/>
      <c r="L412" s="38"/>
      <c r="M412" s="39"/>
    </row>
    <row r="413" spans="2:13" s="9" customFormat="1" ht="13" x14ac:dyDescent="0.3">
      <c r="B413" s="529" t="str">
        <f>'III. Datos Entrada-BE'!$B$36</f>
        <v>mayo</v>
      </c>
      <c r="C413" s="667">
        <f>'III. Datos Entrada-BE'!$E$36</f>
        <v>31</v>
      </c>
      <c r="D413" s="675">
        <f>MIN(0.95, MAX(0.104,EXP(15175*(('III. Datos Entrada-BE'!C36+273)-303.16)/(1.987*('III. Datos Entrada-BE'!C36+273)*303.16))))</f>
        <v>0.104</v>
      </c>
      <c r="E413" s="620">
        <f t="shared" si="48"/>
        <v>0.16600000000000001</v>
      </c>
      <c r="F413" s="675">
        <f>(E413*'III. Datos Entrada-BE'!K83*'III. Datos Entrada-BE'!$K$191*C413*0.8)+G413</f>
        <v>0</v>
      </c>
      <c r="G413" s="670">
        <f>IF('III. Datos Entrada-BE'!$E$164=B412,0,IF('III. Datos Entrada-BE'!$F$164=B412,0,IF('III. Datos Entrada-BE'!$G$164=B412,0,IF('III. Datos Entrada-BE'!$C$164="Sí",0,(F412-H412)))))</f>
        <v>0</v>
      </c>
      <c r="H413" s="668">
        <f t="shared" si="50"/>
        <v>0</v>
      </c>
      <c r="I413" s="668">
        <f>IF('III. Datos Entrada-BE'!D36=0,0,H413*'III. Datos Entrada-BE'!$C$128*0.717*0.001)*('III. Datos Entrada-BE'!G36/'III. Datos Entrada-BE'!E36)</f>
        <v>0</v>
      </c>
      <c r="J413" s="676">
        <f t="shared" si="49"/>
        <v>0</v>
      </c>
      <c r="K413" s="38"/>
      <c r="L413" s="38"/>
      <c r="M413" s="39"/>
    </row>
    <row r="414" spans="2:13" s="9" customFormat="1" ht="13" x14ac:dyDescent="0.3">
      <c r="B414" s="529" t="str">
        <f>'III. Datos Entrada-BE'!$B$37</f>
        <v>junio</v>
      </c>
      <c r="C414" s="667">
        <f>'III. Datos Entrada-BE'!$E$37</f>
        <v>30</v>
      </c>
      <c r="D414" s="675">
        <f>MIN(0.95, MAX(0.104,EXP(15175*(('III. Datos Entrada-BE'!C37+273)-303.16)/(1.987*('III. Datos Entrada-BE'!C37+273)*303.16))))</f>
        <v>0.104</v>
      </c>
      <c r="E414" s="620">
        <f t="shared" si="48"/>
        <v>0.16600000000000001</v>
      </c>
      <c r="F414" s="675">
        <f>(E414*'III. Datos Entrada-BE'!K84*'III. Datos Entrada-BE'!$K$191*C414*0.8)+G414</f>
        <v>0</v>
      </c>
      <c r="G414" s="670">
        <f>IF('III. Datos Entrada-BE'!$E$164=B413,0,IF('III. Datos Entrada-BE'!$F$164=B413,0,IF('III. Datos Entrada-BE'!$G$164=B413,0,IF('III. Datos Entrada-BE'!$C$164="Sí",0,(F413-H413)))))</f>
        <v>0</v>
      </c>
      <c r="H414" s="668">
        <f t="shared" si="50"/>
        <v>0</v>
      </c>
      <c r="I414" s="668">
        <f>IF('III. Datos Entrada-BE'!D37=0,0,H414*'III. Datos Entrada-BE'!$C$128*0.717*0.001)*('III. Datos Entrada-BE'!G37/'III. Datos Entrada-BE'!E37)</f>
        <v>0</v>
      </c>
      <c r="J414" s="676">
        <f t="shared" si="49"/>
        <v>0</v>
      </c>
      <c r="K414" s="38"/>
      <c r="L414" s="38"/>
      <c r="M414" s="39"/>
    </row>
    <row r="415" spans="2:13" s="9" customFormat="1" ht="13" x14ac:dyDescent="0.3">
      <c r="B415" s="529" t="str">
        <f>'III. Datos Entrada-BE'!$B$38</f>
        <v>julio</v>
      </c>
      <c r="C415" s="667">
        <f>'III. Datos Entrada-BE'!$E$38</f>
        <v>31</v>
      </c>
      <c r="D415" s="675">
        <f>MIN(0.95, MAX(0.104,EXP(15175*(('III. Datos Entrada-BE'!C38+273)-303.16)/(1.987*('III. Datos Entrada-BE'!C38+273)*303.16))))</f>
        <v>0.104</v>
      </c>
      <c r="E415" s="620">
        <f t="shared" si="48"/>
        <v>0.16600000000000001</v>
      </c>
      <c r="F415" s="675">
        <f>(E415*'III. Datos Entrada-BE'!K85*'III. Datos Entrada-BE'!$K$191*C415*0.8)+G415</f>
        <v>0</v>
      </c>
      <c r="G415" s="670">
        <f>IF('III. Datos Entrada-BE'!$E$164=B414,0,IF('III. Datos Entrada-BE'!$F$164=B414,0,IF('III. Datos Entrada-BE'!$G$164=B414,0,IF('III. Datos Entrada-BE'!$C$164="Sí",0,(F414-H414)))))</f>
        <v>0</v>
      </c>
      <c r="H415" s="668">
        <f t="shared" si="50"/>
        <v>0</v>
      </c>
      <c r="I415" s="668">
        <f>IF('III. Datos Entrada-BE'!D38=0,0,H415*'III. Datos Entrada-BE'!$C$128*0.717*0.001)*('III. Datos Entrada-BE'!G38/'III. Datos Entrada-BE'!E38)</f>
        <v>0</v>
      </c>
      <c r="J415" s="676">
        <f t="shared" si="49"/>
        <v>0</v>
      </c>
      <c r="K415" s="38"/>
      <c r="L415" s="38"/>
      <c r="M415" s="39"/>
    </row>
    <row r="416" spans="2:13" s="9" customFormat="1" ht="13" x14ac:dyDescent="0.3">
      <c r="B416" s="529" t="str">
        <f>'III. Datos Entrada-BE'!$B$39</f>
        <v>agosto</v>
      </c>
      <c r="C416" s="667">
        <f>'III. Datos Entrada-BE'!$E$39</f>
        <v>31</v>
      </c>
      <c r="D416" s="675">
        <f>MIN(0.95, MAX(0.104,EXP(15175*(('III. Datos Entrada-BE'!C39+273)-303.16)/(1.987*('III. Datos Entrada-BE'!C39+273)*303.16))))</f>
        <v>0.104</v>
      </c>
      <c r="E416" s="620">
        <f t="shared" si="48"/>
        <v>0.16600000000000001</v>
      </c>
      <c r="F416" s="675">
        <f>(E416*'III. Datos Entrada-BE'!K86*'III. Datos Entrada-BE'!$K$191*C416*0.8)+G416</f>
        <v>0</v>
      </c>
      <c r="G416" s="670">
        <f>IF('III. Datos Entrada-BE'!$E$164=B415,0,IF('III. Datos Entrada-BE'!$F$164=B415,0,IF('III. Datos Entrada-BE'!$G$164=B415,0,IF('III. Datos Entrada-BE'!$C$164="Sí",0,(F415-H415)))))</f>
        <v>0</v>
      </c>
      <c r="H416" s="668">
        <f t="shared" si="50"/>
        <v>0</v>
      </c>
      <c r="I416" s="668">
        <f>IF('III. Datos Entrada-BE'!D39=0,0,H416*'III. Datos Entrada-BE'!$C$128*0.717*0.001)*('III. Datos Entrada-BE'!G39/'III. Datos Entrada-BE'!E39)</f>
        <v>0</v>
      </c>
      <c r="J416" s="676">
        <f t="shared" si="49"/>
        <v>0</v>
      </c>
      <c r="K416" s="38"/>
      <c r="L416" s="38"/>
      <c r="M416" s="39"/>
    </row>
    <row r="417" spans="1:94" s="9" customFormat="1" ht="13" x14ac:dyDescent="0.3">
      <c r="B417" s="529" t="str">
        <f>'III. Datos Entrada-BE'!$B$40</f>
        <v>septiembre</v>
      </c>
      <c r="C417" s="667">
        <f>'III. Datos Entrada-BE'!$E$40</f>
        <v>30</v>
      </c>
      <c r="D417" s="675">
        <f>MIN(0.95, MAX(0.104,EXP(15175*(('III. Datos Entrada-BE'!C40+273)-303.16)/(1.987*('III. Datos Entrada-BE'!C40+273)*303.16))))</f>
        <v>0.104</v>
      </c>
      <c r="E417" s="620">
        <f t="shared" si="48"/>
        <v>0.16600000000000001</v>
      </c>
      <c r="F417" s="675">
        <f>(E417*'III. Datos Entrada-BE'!K87*'III. Datos Entrada-BE'!$K$191*C417*0.8)+G417</f>
        <v>0</v>
      </c>
      <c r="G417" s="670">
        <f>IF('III. Datos Entrada-BE'!$E$164=B416,0,IF('III. Datos Entrada-BE'!$F$164=B416,0,IF('III. Datos Entrada-BE'!$G$164=B416,0,IF('III. Datos Entrada-BE'!$C$164="Sí",0,(F416-H416)))))</f>
        <v>0</v>
      </c>
      <c r="H417" s="668">
        <f t="shared" si="50"/>
        <v>0</v>
      </c>
      <c r="I417" s="668">
        <f>IF('III. Datos Entrada-BE'!D40=0,0,H417*'III. Datos Entrada-BE'!$C$128*0.717*0.001)*('III. Datos Entrada-BE'!G40/'III. Datos Entrada-BE'!E40)</f>
        <v>0</v>
      </c>
      <c r="J417" s="676">
        <f t="shared" si="49"/>
        <v>0</v>
      </c>
      <c r="K417" s="38"/>
      <c r="L417" s="38"/>
      <c r="M417" s="39"/>
    </row>
    <row r="418" spans="1:94" s="9" customFormat="1" ht="13" x14ac:dyDescent="0.3">
      <c r="B418" s="529" t="str">
        <f>'III. Datos Entrada-BE'!$B$41</f>
        <v>octubre</v>
      </c>
      <c r="C418" s="667">
        <f>'III. Datos Entrada-BE'!$E$41</f>
        <v>31</v>
      </c>
      <c r="D418" s="675">
        <f>MIN(0.95, MAX(0.104,EXP(15175*(('III. Datos Entrada-BE'!C41+273)-303.16)/(1.987*('III. Datos Entrada-BE'!C41+273)*303.16))))</f>
        <v>0.104</v>
      </c>
      <c r="E418" s="620">
        <f t="shared" si="48"/>
        <v>0.16600000000000001</v>
      </c>
      <c r="F418" s="675">
        <f>(E418*'III. Datos Entrada-BE'!K88*'III. Datos Entrada-BE'!$K$191*C418*0.8)+G418</f>
        <v>0</v>
      </c>
      <c r="G418" s="670">
        <f>IF('III. Datos Entrada-BE'!$E$164=B417,0,IF('III. Datos Entrada-BE'!$F$164=B417,0,IF('III. Datos Entrada-BE'!$G$164=B417,0,IF('III. Datos Entrada-BE'!$C$164="Sí",0,(F417-H417)))))</f>
        <v>0</v>
      </c>
      <c r="H418" s="668">
        <f t="shared" si="50"/>
        <v>0</v>
      </c>
      <c r="I418" s="668">
        <f>IF('III. Datos Entrada-BE'!D41=0,0,H418*'III. Datos Entrada-BE'!$C$128*0.717*0.001)*('III. Datos Entrada-BE'!G41/'III. Datos Entrada-BE'!E41)</f>
        <v>0</v>
      </c>
      <c r="J418" s="676">
        <f t="shared" si="49"/>
        <v>0</v>
      </c>
      <c r="K418" s="38"/>
      <c r="L418" s="38"/>
      <c r="M418" s="39"/>
    </row>
    <row r="419" spans="1:94" s="9" customFormat="1" ht="13" x14ac:dyDescent="0.3">
      <c r="B419" s="529" t="str">
        <f>'III. Datos Entrada-BE'!$B$42</f>
        <v>noviembre</v>
      </c>
      <c r="C419" s="667">
        <f>'III. Datos Entrada-BE'!$E$42</f>
        <v>30</v>
      </c>
      <c r="D419" s="675">
        <f>MIN(0.95, MAX(0.104,EXP(15175*(('III. Datos Entrada-BE'!C42+273)-303.16)/(1.987*('III. Datos Entrada-BE'!C42+273)*303.16))))</f>
        <v>0.104</v>
      </c>
      <c r="E419" s="620">
        <f t="shared" si="48"/>
        <v>0.16600000000000001</v>
      </c>
      <c r="F419" s="675">
        <f>(E419*'III. Datos Entrada-BE'!K89*'III. Datos Entrada-BE'!$K$191*C419*0.8)+G419</f>
        <v>0</v>
      </c>
      <c r="G419" s="670">
        <f>IF('III. Datos Entrada-BE'!$E$164=B418,0,IF('III. Datos Entrada-BE'!$F$164=B418,0,IF('III. Datos Entrada-BE'!$G$164=B418,0,IF('III. Datos Entrada-BE'!$C$164="Sí",0,(F418-H418)))))</f>
        <v>0</v>
      </c>
      <c r="H419" s="668">
        <f t="shared" si="50"/>
        <v>0</v>
      </c>
      <c r="I419" s="668">
        <f>IF('III. Datos Entrada-BE'!D42=0,0,H419*'III. Datos Entrada-BE'!$C$128*0.717*0.001)*('III. Datos Entrada-BE'!G42/'III. Datos Entrada-BE'!E42)</f>
        <v>0</v>
      </c>
      <c r="J419" s="676">
        <f t="shared" si="49"/>
        <v>0</v>
      </c>
      <c r="K419" s="38"/>
      <c r="L419" s="38"/>
      <c r="M419" s="39"/>
    </row>
    <row r="420" spans="1:94" s="9" customFormat="1" ht="13.5" thickBot="1" x14ac:dyDescent="0.35">
      <c r="B420" s="553" t="str">
        <f>'III. Datos Entrada-BE'!$B$43</f>
        <v>diciembre</v>
      </c>
      <c r="C420" s="671">
        <f>'III. Datos Entrada-BE'!$E$43</f>
        <v>31</v>
      </c>
      <c r="D420" s="677">
        <f>MIN(0.95, MAX(0.104,EXP(15175*(('III. Datos Entrada-BE'!C43+273)-303.16)/(1.987*('III. Datos Entrada-BE'!C43+273)*303.16))))</f>
        <v>0.104</v>
      </c>
      <c r="E420" s="678">
        <f t="shared" si="48"/>
        <v>0.16600000000000001</v>
      </c>
      <c r="F420" s="677">
        <f>(E420*'III. Datos Entrada-BE'!K90*'III. Datos Entrada-BE'!$K$191*C420*0.8)+G420</f>
        <v>0</v>
      </c>
      <c r="G420" s="670">
        <f>IF('III. Datos Entrada-BE'!$E$164=B419,0,IF('III. Datos Entrada-BE'!$F$164=B419,0,IF('III. Datos Entrada-BE'!$G$164=B419,0,IF('III. Datos Entrada-BE'!$C$164="Sí",0,(F419-H419)))))</f>
        <v>0</v>
      </c>
      <c r="H420" s="575">
        <f t="shared" si="50"/>
        <v>0</v>
      </c>
      <c r="I420" s="575">
        <f>IF('III. Datos Entrada-BE'!D43=0,0,H420*'III. Datos Entrada-BE'!$C$128*0.717*0.001)*('III. Datos Entrada-BE'!G43/'III. Datos Entrada-BE'!E43)</f>
        <v>0</v>
      </c>
      <c r="J420" s="676">
        <f t="shared" si="49"/>
        <v>0</v>
      </c>
      <c r="K420" s="38"/>
      <c r="L420" s="38"/>
      <c r="M420" s="39"/>
    </row>
    <row r="421" spans="1:94" s="9" customFormat="1" ht="13.5" thickBot="1" x14ac:dyDescent="0.35">
      <c r="B421" s="27" t="s">
        <v>166</v>
      </c>
      <c r="C421" s="504"/>
      <c r="D421" s="505"/>
      <c r="E421" s="505"/>
      <c r="F421" s="506"/>
      <c r="G421" s="507"/>
      <c r="H421" s="906">
        <f>SUM(H409:H420)</f>
        <v>0</v>
      </c>
      <c r="I421" s="376">
        <f>SUM(I409:I420)</f>
        <v>0</v>
      </c>
      <c r="J421" s="54">
        <f>SUM(J409:J420)</f>
        <v>0</v>
      </c>
      <c r="K421" s="38"/>
      <c r="L421" s="38"/>
      <c r="M421" s="39"/>
    </row>
    <row r="422" spans="1:94" s="9" customFormat="1" ht="13.5" thickBot="1" x14ac:dyDescent="0.35">
      <c r="C422" s="70"/>
      <c r="D422" s="12"/>
      <c r="E422" s="12"/>
      <c r="F422" s="8"/>
      <c r="G422" s="8"/>
      <c r="H422" s="12"/>
      <c r="I422" s="12"/>
      <c r="J422" s="8"/>
      <c r="K422" s="38"/>
      <c r="L422" s="38"/>
      <c r="M422" s="39"/>
    </row>
    <row r="423" spans="1:94" s="68" customFormat="1" ht="25.5" customHeight="1" thickBot="1" x14ac:dyDescent="0.35">
      <c r="A423" s="9"/>
      <c r="B423" s="1232" t="s">
        <v>928</v>
      </c>
      <c r="C423" s="1233"/>
      <c r="D423" s="1233"/>
      <c r="E423" s="1233"/>
      <c r="F423" s="1234"/>
      <c r="G423" s="456">
        <f>IF('III. Datos Entrada-BE'!C$164="Sí",0,IF('III. Datos Entrada-BE'!E$164=B420,0,IF('III. Datos Entrada-BE'!F$164='V. BE CH4-AS'!B420,0,IF('III. Datos Entrada-BE'!G$164='V. BE CH4-AS'!B420,0,F420-H420))))</f>
        <v>0</v>
      </c>
      <c r="H423" s="12"/>
      <c r="I423" s="12"/>
      <c r="J423" s="8"/>
      <c r="K423" s="38"/>
      <c r="L423" s="38"/>
      <c r="M423" s="3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row>
    <row r="424" spans="1:94" s="9" customFormat="1" ht="128" thickBot="1" x14ac:dyDescent="0.35">
      <c r="B424" s="2"/>
      <c r="C424" s="20"/>
      <c r="D424" s="3"/>
      <c r="E424" s="3"/>
      <c r="F424" s="3"/>
      <c r="G424" s="46" t="s">
        <v>927</v>
      </c>
      <c r="H424" s="12"/>
      <c r="I424" s="12"/>
      <c r="J424" s="8"/>
      <c r="K424" s="38"/>
      <c r="L424" s="38"/>
      <c r="M424" s="39"/>
    </row>
    <row r="425" spans="1:94" s="9" customFormat="1" ht="13" x14ac:dyDescent="0.3">
      <c r="C425" s="70"/>
      <c r="D425" s="12"/>
      <c r="E425" s="12"/>
      <c r="F425" s="8"/>
      <c r="G425" s="8"/>
      <c r="H425" s="12"/>
      <c r="I425" s="12"/>
      <c r="J425" s="8"/>
      <c r="K425" s="38"/>
      <c r="L425" s="38"/>
      <c r="M425" s="39"/>
    </row>
    <row r="426" spans="1:94" s="9" customFormat="1" ht="13.5" thickBot="1" x14ac:dyDescent="0.35">
      <c r="C426" s="70"/>
      <c r="D426" s="12"/>
      <c r="E426" s="12"/>
      <c r="F426" s="8"/>
      <c r="G426" s="8"/>
      <c r="H426" s="12"/>
      <c r="I426" s="12"/>
      <c r="J426" s="8"/>
      <c r="K426" s="38"/>
      <c r="L426" s="38"/>
      <c r="M426" s="39"/>
    </row>
    <row r="427" spans="1:94" s="9" customFormat="1" ht="13" x14ac:dyDescent="0.3">
      <c r="C427" s="70"/>
      <c r="D427" s="12"/>
      <c r="E427" s="1083" t="s">
        <v>924</v>
      </c>
      <c r="F427" s="1109"/>
      <c r="G427" s="1109"/>
      <c r="H427" s="1109"/>
      <c r="I427" s="1109"/>
      <c r="J427" s="1110"/>
      <c r="K427" s="38"/>
      <c r="L427" s="38"/>
      <c r="M427" s="39"/>
    </row>
    <row r="428" spans="1:94" s="9" customFormat="1" ht="13.5" thickBot="1" x14ac:dyDescent="0.35">
      <c r="C428" s="70"/>
      <c r="D428" s="12"/>
      <c r="E428" s="1107"/>
      <c r="F428" s="1111"/>
      <c r="G428" s="1111"/>
      <c r="H428" s="1111"/>
      <c r="I428" s="1111"/>
      <c r="J428" s="1112"/>
      <c r="K428" s="38"/>
      <c r="L428" s="38"/>
      <c r="M428" s="39"/>
    </row>
    <row r="429" spans="1:94" s="9" customFormat="1" ht="26.5" thickBot="1" x14ac:dyDescent="0.35">
      <c r="B429" s="23" t="str">
        <f>B405</f>
        <v>Cerdos de vivero 
Nursery swine</v>
      </c>
      <c r="C429" s="24">
        <f>'III. Datos Entrada-BE'!B137</f>
        <v>0</v>
      </c>
      <c r="D429" s="25"/>
      <c r="E429" s="1113"/>
      <c r="F429" s="1114"/>
      <c r="G429" s="1114"/>
      <c r="H429" s="1114"/>
      <c r="I429" s="1114"/>
      <c r="J429" s="1115"/>
      <c r="K429" s="38"/>
      <c r="L429" s="38"/>
      <c r="M429" s="39"/>
    </row>
    <row r="430" spans="1:94" s="9" customFormat="1" ht="15" x14ac:dyDescent="0.4">
      <c r="B430" s="574" t="s">
        <v>158</v>
      </c>
      <c r="C430" s="666">
        <f>C406</f>
        <v>0.16600000000000001</v>
      </c>
      <c r="D430" s="3"/>
      <c r="E430" s="8"/>
      <c r="F430" s="12"/>
      <c r="G430" s="12"/>
      <c r="H430" s="12"/>
      <c r="I430" s="12"/>
      <c r="J430" s="12"/>
      <c r="K430" s="38"/>
      <c r="L430" s="38"/>
      <c r="M430" s="39"/>
    </row>
    <row r="431" spans="1:94" s="9" customFormat="1" ht="13.5" thickBot="1" x14ac:dyDescent="0.35">
      <c r="B431" s="69"/>
      <c r="C431" s="420"/>
      <c r="D431" s="3"/>
      <c r="E431" s="8"/>
      <c r="F431" s="12"/>
      <c r="G431" s="12"/>
      <c r="H431" s="12"/>
      <c r="I431" s="12"/>
      <c r="J431" s="12"/>
      <c r="K431" s="38"/>
      <c r="L431" s="38"/>
      <c r="M431" s="39"/>
    </row>
    <row r="432" spans="1:94" ht="27.5" thickBot="1" x14ac:dyDescent="0.45">
      <c r="B432" s="905" t="s">
        <v>442</v>
      </c>
      <c r="C432" s="269" t="s">
        <v>922</v>
      </c>
      <c r="D432" s="59" t="s">
        <v>159</v>
      </c>
      <c r="E432" s="60" t="s">
        <v>160</v>
      </c>
      <c r="F432" s="61" t="s">
        <v>161</v>
      </c>
      <c r="G432" s="60" t="s">
        <v>162</v>
      </c>
      <c r="H432" s="61" t="s">
        <v>163</v>
      </c>
      <c r="I432" s="62" t="s">
        <v>164</v>
      </c>
      <c r="J432" s="63" t="s">
        <v>165</v>
      </c>
    </row>
    <row r="433" spans="1:94" s="9" customFormat="1" ht="13" x14ac:dyDescent="0.3">
      <c r="B433" s="29" t="str">
        <f>'III. Datos Entrada-BE'!$B$32</f>
        <v>enero</v>
      </c>
      <c r="C433" s="416">
        <f>'III. Datos Entrada-BE'!$E$32</f>
        <v>31</v>
      </c>
      <c r="D433" s="50">
        <f>MIN(0.95, MAX(0.104,EXP(15175*(('III. Datos Entrada-BE'!C32+273)-303.16)/(1.987*('III. Datos Entrada-BE'!C32+273)*303.16))))</f>
        <v>0.104</v>
      </c>
      <c r="E433" s="51">
        <f t="shared" ref="E433:E444" si="51">$C$430</f>
        <v>0.16600000000000001</v>
      </c>
      <c r="F433" s="50">
        <f>(E433*'III. Datos Entrada-BE'!K79*'III. Datos Entrada-BE'!$K$192*C433*0.8)+G433</f>
        <v>0</v>
      </c>
      <c r="G433" s="32"/>
      <c r="H433" s="31">
        <f>F433*D433</f>
        <v>0</v>
      </c>
      <c r="I433" s="31">
        <f>IF('III. Datos Entrada-BE'!D32=0,0,H433*'III. Datos Entrada-BE'!$C$128*0.717*0.001)*('III. Datos Entrada-BE'!G32/'III. Datos Entrada-BE'!E32)</f>
        <v>0</v>
      </c>
      <c r="J433" s="33">
        <f t="shared" ref="J433:J444" si="52">I433*PCG</f>
        <v>0</v>
      </c>
      <c r="K433" s="38"/>
      <c r="L433" s="38"/>
      <c r="M433" s="39"/>
    </row>
    <row r="434" spans="1:94" s="9" customFormat="1" ht="13" x14ac:dyDescent="0.3">
      <c r="B434" s="529" t="str">
        <f>'III. Datos Entrada-BE'!$B$33</f>
        <v>febrero</v>
      </c>
      <c r="C434" s="667">
        <f>'III. Datos Entrada-BE'!$E$33</f>
        <v>28</v>
      </c>
      <c r="D434" s="675">
        <f>MIN(0.95, MAX(0.104,EXP(15175*(('III. Datos Entrada-BE'!C33+273)-303.16)/(1.987*('III. Datos Entrada-BE'!C33+273)*303.16))))</f>
        <v>0.104</v>
      </c>
      <c r="E434" s="620">
        <f t="shared" si="51"/>
        <v>0.16600000000000001</v>
      </c>
      <c r="F434" s="675">
        <f>(E434*'III. Datos Entrada-BE'!K80*'III. Datos Entrada-BE'!$K$192*C434*0.8)+G434</f>
        <v>0</v>
      </c>
      <c r="G434" s="670">
        <f>IF('III. Datos Entrada-BE'!$E$165=B433,0,IF('III. Datos Entrada-BE'!$F$165=B433,0,IF('III. Datos Entrada-BE'!$G$165=B433,0,IF('III. Datos Entrada-BE'!$C$165="Sí",0,(F433-H433)))))</f>
        <v>0</v>
      </c>
      <c r="H434" s="668">
        <f t="shared" ref="H434:H444" si="53">F434*D434</f>
        <v>0</v>
      </c>
      <c r="I434" s="668">
        <f>IF('III. Datos Entrada-BE'!D33=0,0,H434*'III. Datos Entrada-BE'!$C$128*0.717*0.001)*('III. Datos Entrada-BE'!G33/'III. Datos Entrada-BE'!E33)</f>
        <v>0</v>
      </c>
      <c r="J434" s="676">
        <f t="shared" si="52"/>
        <v>0</v>
      </c>
      <c r="K434" s="38"/>
      <c r="L434" s="38"/>
      <c r="M434" s="39"/>
    </row>
    <row r="435" spans="1:94" s="9" customFormat="1" ht="13" x14ac:dyDescent="0.3">
      <c r="B435" s="529" t="str">
        <f>'III. Datos Entrada-BE'!$B$34</f>
        <v>marzo</v>
      </c>
      <c r="C435" s="667">
        <f>'III. Datos Entrada-BE'!$E$34</f>
        <v>31</v>
      </c>
      <c r="D435" s="675">
        <f>MIN(0.95, MAX(0.104,EXP(15175*(('III. Datos Entrada-BE'!C34+273)-303.16)/(1.987*('III. Datos Entrada-BE'!C34+273)*303.16))))</f>
        <v>0.104</v>
      </c>
      <c r="E435" s="620">
        <f t="shared" si="51"/>
        <v>0.16600000000000001</v>
      </c>
      <c r="F435" s="675">
        <f>(E435*'III. Datos Entrada-BE'!K81*'III. Datos Entrada-BE'!$K$192*C435*0.8)+G435</f>
        <v>0</v>
      </c>
      <c r="G435" s="670">
        <f>IF('III. Datos Entrada-BE'!$E$165=B434,0,IF('III. Datos Entrada-BE'!$F$165=B434,0,IF('III. Datos Entrada-BE'!$G$165=B434,0,IF('III. Datos Entrada-BE'!$C$165="Sí",0,(F434-H434)))))</f>
        <v>0</v>
      </c>
      <c r="H435" s="668">
        <f t="shared" si="53"/>
        <v>0</v>
      </c>
      <c r="I435" s="668">
        <f>IF('III. Datos Entrada-BE'!D34=0,0,H435*'III. Datos Entrada-BE'!$C$128*0.717*0.001)*('III. Datos Entrada-BE'!G34/'III. Datos Entrada-BE'!E34)</f>
        <v>0</v>
      </c>
      <c r="J435" s="676">
        <f t="shared" si="52"/>
        <v>0</v>
      </c>
      <c r="K435" s="38"/>
      <c r="L435" s="38"/>
      <c r="M435" s="39"/>
    </row>
    <row r="436" spans="1:94" s="9" customFormat="1" ht="13" x14ac:dyDescent="0.3">
      <c r="B436" s="529" t="str">
        <f>'III. Datos Entrada-BE'!$B$35</f>
        <v>abril</v>
      </c>
      <c r="C436" s="667">
        <f>'III. Datos Entrada-BE'!$E$35</f>
        <v>30</v>
      </c>
      <c r="D436" s="675">
        <f>MIN(0.95, MAX(0.104,EXP(15175*(('III. Datos Entrada-BE'!C35+273)-303.16)/(1.987*('III. Datos Entrada-BE'!C35+273)*303.16))))</f>
        <v>0.104</v>
      </c>
      <c r="E436" s="620">
        <f t="shared" si="51"/>
        <v>0.16600000000000001</v>
      </c>
      <c r="F436" s="675">
        <f>(E436*'III. Datos Entrada-BE'!K82*'III. Datos Entrada-BE'!$K$192*C436*0.8)+G436</f>
        <v>0</v>
      </c>
      <c r="G436" s="670">
        <f>IF('III. Datos Entrada-BE'!$E$165=B435,0,IF('III. Datos Entrada-BE'!$F$165=B435,0,IF('III. Datos Entrada-BE'!$G$165=B435,0,IF('III. Datos Entrada-BE'!$C$165="Sí",0,(F435-H435)))))</f>
        <v>0</v>
      </c>
      <c r="H436" s="668">
        <f t="shared" si="53"/>
        <v>0</v>
      </c>
      <c r="I436" s="668">
        <f>IF('III. Datos Entrada-BE'!D35=0,0,H436*'III. Datos Entrada-BE'!$C$128*0.717*0.001)*('III. Datos Entrada-BE'!G35/'III. Datos Entrada-BE'!E35)</f>
        <v>0</v>
      </c>
      <c r="J436" s="676">
        <f t="shared" si="52"/>
        <v>0</v>
      </c>
      <c r="K436" s="38"/>
      <c r="L436" s="38"/>
      <c r="M436" s="39"/>
    </row>
    <row r="437" spans="1:94" s="9" customFormat="1" ht="13" x14ac:dyDescent="0.3">
      <c r="B437" s="529" t="str">
        <f>'III. Datos Entrada-BE'!$B$36</f>
        <v>mayo</v>
      </c>
      <c r="C437" s="667">
        <f>'III. Datos Entrada-BE'!$E$36</f>
        <v>31</v>
      </c>
      <c r="D437" s="675">
        <f>MIN(0.95, MAX(0.104,EXP(15175*(('III. Datos Entrada-BE'!C36+273)-303.16)/(1.987*('III. Datos Entrada-BE'!C36+273)*303.16))))</f>
        <v>0.104</v>
      </c>
      <c r="E437" s="620">
        <f t="shared" si="51"/>
        <v>0.16600000000000001</v>
      </c>
      <c r="F437" s="675">
        <f>(E437*'III. Datos Entrada-BE'!K83*'III. Datos Entrada-BE'!$K$192*C437*0.8)+G437</f>
        <v>0</v>
      </c>
      <c r="G437" s="670">
        <f>IF('III. Datos Entrada-BE'!$E$165=B436,0,IF('III. Datos Entrada-BE'!$F$165=B436,0,IF('III. Datos Entrada-BE'!$G$165=B436,0,IF('III. Datos Entrada-BE'!$C$165="Sí",0,(F436-H436)))))</f>
        <v>0</v>
      </c>
      <c r="H437" s="668">
        <f t="shared" si="53"/>
        <v>0</v>
      </c>
      <c r="I437" s="668">
        <f>IF('III. Datos Entrada-BE'!D36=0,0,H437*'III. Datos Entrada-BE'!$C$128*0.717*0.001)*('III. Datos Entrada-BE'!G36/'III. Datos Entrada-BE'!E36)</f>
        <v>0</v>
      </c>
      <c r="J437" s="676">
        <f t="shared" si="52"/>
        <v>0</v>
      </c>
      <c r="K437" s="38"/>
      <c r="L437" s="38"/>
      <c r="M437" s="39"/>
    </row>
    <row r="438" spans="1:94" s="9" customFormat="1" ht="13" x14ac:dyDescent="0.3">
      <c r="B438" s="529" t="str">
        <f>'III. Datos Entrada-BE'!$B$37</f>
        <v>junio</v>
      </c>
      <c r="C438" s="667">
        <f>'III. Datos Entrada-BE'!$E$37</f>
        <v>30</v>
      </c>
      <c r="D438" s="675">
        <f>MIN(0.95, MAX(0.104,EXP(15175*(('III. Datos Entrada-BE'!C37+273)-303.16)/(1.987*('III. Datos Entrada-BE'!C37+273)*303.16))))</f>
        <v>0.104</v>
      </c>
      <c r="E438" s="620">
        <f t="shared" si="51"/>
        <v>0.16600000000000001</v>
      </c>
      <c r="F438" s="675">
        <f>(E438*'III. Datos Entrada-BE'!K84*'III. Datos Entrada-BE'!$K$192*C438*0.8)+G438</f>
        <v>0</v>
      </c>
      <c r="G438" s="670">
        <f>IF('III. Datos Entrada-BE'!$E$165=B437,0,IF('III. Datos Entrada-BE'!$F$165=B437,0,IF('III. Datos Entrada-BE'!$G$165=B437,0,IF('III. Datos Entrada-BE'!$C$165="Sí",0,(F437-H437)))))</f>
        <v>0</v>
      </c>
      <c r="H438" s="668">
        <f t="shared" si="53"/>
        <v>0</v>
      </c>
      <c r="I438" s="668">
        <f>IF('III. Datos Entrada-BE'!D37=0,0,H438*'III. Datos Entrada-BE'!$C$128*0.717*0.001)*('III. Datos Entrada-BE'!G37/'III. Datos Entrada-BE'!E37)</f>
        <v>0</v>
      </c>
      <c r="J438" s="676">
        <f t="shared" si="52"/>
        <v>0</v>
      </c>
      <c r="K438" s="38"/>
      <c r="L438" s="38"/>
      <c r="M438" s="39"/>
    </row>
    <row r="439" spans="1:94" s="9" customFormat="1" ht="13" x14ac:dyDescent="0.3">
      <c r="B439" s="529" t="str">
        <f>'III. Datos Entrada-BE'!$B$38</f>
        <v>julio</v>
      </c>
      <c r="C439" s="667">
        <f>'III. Datos Entrada-BE'!$E$38</f>
        <v>31</v>
      </c>
      <c r="D439" s="675">
        <f>MIN(0.95, MAX(0.104,EXP(15175*(('III. Datos Entrada-BE'!C38+273)-303.16)/(1.987*('III. Datos Entrada-BE'!C38+273)*303.16))))</f>
        <v>0.104</v>
      </c>
      <c r="E439" s="620">
        <f t="shared" si="51"/>
        <v>0.16600000000000001</v>
      </c>
      <c r="F439" s="675">
        <f>(E439*'III. Datos Entrada-BE'!K85*'III. Datos Entrada-BE'!$K$192*C439*0.8)+G439</f>
        <v>0</v>
      </c>
      <c r="G439" s="670">
        <f>IF('III. Datos Entrada-BE'!$E$165=B438,0,IF('III. Datos Entrada-BE'!$F$165=B438,0,IF('III. Datos Entrada-BE'!$G$165=B438,0,IF('III. Datos Entrada-BE'!$C$165="Sí",0,(F438-H438)))))</f>
        <v>0</v>
      </c>
      <c r="H439" s="668">
        <f t="shared" si="53"/>
        <v>0</v>
      </c>
      <c r="I439" s="668">
        <f>IF('III. Datos Entrada-BE'!D38=0,0,H439*'III. Datos Entrada-BE'!$C$128*0.717*0.001)*('III. Datos Entrada-BE'!G38/'III. Datos Entrada-BE'!E38)</f>
        <v>0</v>
      </c>
      <c r="J439" s="676">
        <f t="shared" si="52"/>
        <v>0</v>
      </c>
      <c r="K439" s="38"/>
      <c r="L439" s="38"/>
      <c r="M439" s="39"/>
    </row>
    <row r="440" spans="1:94" s="9" customFormat="1" ht="13" x14ac:dyDescent="0.3">
      <c r="B440" s="529" t="str">
        <f>'III. Datos Entrada-BE'!$B$39</f>
        <v>agosto</v>
      </c>
      <c r="C440" s="667">
        <f>'III. Datos Entrada-BE'!$E$39</f>
        <v>31</v>
      </c>
      <c r="D440" s="675">
        <f>MIN(0.95, MAX(0.104,EXP(15175*(('III. Datos Entrada-BE'!C39+273)-303.16)/(1.987*('III. Datos Entrada-BE'!C39+273)*303.16))))</f>
        <v>0.104</v>
      </c>
      <c r="E440" s="620">
        <f t="shared" si="51"/>
        <v>0.16600000000000001</v>
      </c>
      <c r="F440" s="675">
        <f>(E440*'III. Datos Entrada-BE'!K86*'III. Datos Entrada-BE'!$K$192*C440*0.8)+G440</f>
        <v>0</v>
      </c>
      <c r="G440" s="670">
        <f>IF('III. Datos Entrada-BE'!$E$165=B439,0,IF('III. Datos Entrada-BE'!$F$165=B439,0,IF('III. Datos Entrada-BE'!$G$165=B439,0,IF('III. Datos Entrada-BE'!$C$165="Sí",0,(F439-H439)))))</f>
        <v>0</v>
      </c>
      <c r="H440" s="668">
        <f t="shared" si="53"/>
        <v>0</v>
      </c>
      <c r="I440" s="668">
        <f>IF('III. Datos Entrada-BE'!D39=0,0,H440*'III. Datos Entrada-BE'!$C$128*0.717*0.001)*('III. Datos Entrada-BE'!G39/'III. Datos Entrada-BE'!E39)</f>
        <v>0</v>
      </c>
      <c r="J440" s="676">
        <f t="shared" si="52"/>
        <v>0</v>
      </c>
      <c r="K440" s="38"/>
      <c r="L440" s="38"/>
      <c r="M440" s="39"/>
    </row>
    <row r="441" spans="1:94" s="9" customFormat="1" ht="13" x14ac:dyDescent="0.3">
      <c r="B441" s="529" t="str">
        <f>'III. Datos Entrada-BE'!$B$40</f>
        <v>septiembre</v>
      </c>
      <c r="C441" s="667">
        <f>'III. Datos Entrada-BE'!$E$40</f>
        <v>30</v>
      </c>
      <c r="D441" s="675">
        <f>MIN(0.95, MAX(0.104,EXP(15175*(('III. Datos Entrada-BE'!C40+273)-303.16)/(1.987*('III. Datos Entrada-BE'!C40+273)*303.16))))</f>
        <v>0.104</v>
      </c>
      <c r="E441" s="620">
        <f t="shared" si="51"/>
        <v>0.16600000000000001</v>
      </c>
      <c r="F441" s="675">
        <f>(E441*'III. Datos Entrada-BE'!K87*'III. Datos Entrada-BE'!$K$192*C441*0.8)+G441</f>
        <v>0</v>
      </c>
      <c r="G441" s="670">
        <f>IF('III. Datos Entrada-BE'!$E$165=B440,0,IF('III. Datos Entrada-BE'!$F$165=B440,0,IF('III. Datos Entrada-BE'!$G$165=B440,0,IF('III. Datos Entrada-BE'!$C$165="Sí",0,(F440-H440)))))</f>
        <v>0</v>
      </c>
      <c r="H441" s="668">
        <f t="shared" si="53"/>
        <v>0</v>
      </c>
      <c r="I441" s="668">
        <f>IF('III. Datos Entrada-BE'!D40=0,0,H441*'III. Datos Entrada-BE'!$C$128*0.717*0.001)*('III. Datos Entrada-BE'!G40/'III. Datos Entrada-BE'!E40)</f>
        <v>0</v>
      </c>
      <c r="J441" s="676">
        <f t="shared" si="52"/>
        <v>0</v>
      </c>
      <c r="K441" s="38"/>
      <c r="L441" s="38"/>
      <c r="M441" s="39"/>
    </row>
    <row r="442" spans="1:94" s="9" customFormat="1" ht="13" x14ac:dyDescent="0.3">
      <c r="B442" s="529" t="str">
        <f>'III. Datos Entrada-BE'!$B$41</f>
        <v>octubre</v>
      </c>
      <c r="C442" s="667">
        <f>'III. Datos Entrada-BE'!$E$41</f>
        <v>31</v>
      </c>
      <c r="D442" s="675">
        <f>MIN(0.95, MAX(0.104,EXP(15175*(('III. Datos Entrada-BE'!C41+273)-303.16)/(1.987*('III. Datos Entrada-BE'!C41+273)*303.16))))</f>
        <v>0.104</v>
      </c>
      <c r="E442" s="620">
        <f t="shared" si="51"/>
        <v>0.16600000000000001</v>
      </c>
      <c r="F442" s="675">
        <f>(E442*'III. Datos Entrada-BE'!K88*'III. Datos Entrada-BE'!$K$192*C442*0.8)+G442</f>
        <v>0</v>
      </c>
      <c r="G442" s="670">
        <f>IF('III. Datos Entrada-BE'!$E$165=B441,0,IF('III. Datos Entrada-BE'!$F$165=B441,0,IF('III. Datos Entrada-BE'!$G$165=B441,0,IF('III. Datos Entrada-BE'!$C$165="Sí",0,(F441-H441)))))</f>
        <v>0</v>
      </c>
      <c r="H442" s="668">
        <f t="shared" si="53"/>
        <v>0</v>
      </c>
      <c r="I442" s="668">
        <f>IF('III. Datos Entrada-BE'!D41=0,0,H442*'III. Datos Entrada-BE'!$C$128*0.717*0.001)*('III. Datos Entrada-BE'!G41/'III. Datos Entrada-BE'!E41)</f>
        <v>0</v>
      </c>
      <c r="J442" s="676">
        <f t="shared" si="52"/>
        <v>0</v>
      </c>
      <c r="K442" s="38"/>
      <c r="L442" s="38"/>
      <c r="M442" s="39"/>
    </row>
    <row r="443" spans="1:94" s="9" customFormat="1" ht="13" x14ac:dyDescent="0.3">
      <c r="B443" s="529" t="str">
        <f>'III. Datos Entrada-BE'!$B$42</f>
        <v>noviembre</v>
      </c>
      <c r="C443" s="667">
        <f>'III. Datos Entrada-BE'!$E$42</f>
        <v>30</v>
      </c>
      <c r="D443" s="675">
        <f>MIN(0.95, MAX(0.104,EXP(15175*(('III. Datos Entrada-BE'!C42+273)-303.16)/(1.987*('III. Datos Entrada-BE'!C42+273)*303.16))))</f>
        <v>0.104</v>
      </c>
      <c r="E443" s="620">
        <f t="shared" si="51"/>
        <v>0.16600000000000001</v>
      </c>
      <c r="F443" s="675">
        <f>(E443*'III. Datos Entrada-BE'!K89*'III. Datos Entrada-BE'!$K$192*C443*0.8)+G443</f>
        <v>0</v>
      </c>
      <c r="G443" s="670">
        <f>IF('III. Datos Entrada-BE'!$E$165=B442,0,IF('III. Datos Entrada-BE'!$F$165=B442,0,IF('III. Datos Entrada-BE'!$G$165=B442,0,IF('III. Datos Entrada-BE'!$C$165="Sí",0,(F442-H442)))))</f>
        <v>0</v>
      </c>
      <c r="H443" s="668">
        <f t="shared" si="53"/>
        <v>0</v>
      </c>
      <c r="I443" s="668">
        <f>IF('III. Datos Entrada-BE'!D42=0,0,H443*'III. Datos Entrada-BE'!$C$128*0.717*0.001)*('III. Datos Entrada-BE'!G42/'III. Datos Entrada-BE'!E42)</f>
        <v>0</v>
      </c>
      <c r="J443" s="676">
        <f t="shared" si="52"/>
        <v>0</v>
      </c>
      <c r="K443" s="38"/>
      <c r="L443" s="38"/>
      <c r="M443" s="39"/>
    </row>
    <row r="444" spans="1:94" s="9" customFormat="1" ht="13.5" thickBot="1" x14ac:dyDescent="0.35">
      <c r="B444" s="553" t="str">
        <f>'III. Datos Entrada-BE'!$B$43</f>
        <v>diciembre</v>
      </c>
      <c r="C444" s="671">
        <f>'III. Datos Entrada-BE'!$E$43</f>
        <v>31</v>
      </c>
      <c r="D444" s="677">
        <f>MIN(0.95, MAX(0.104,EXP(15175*(('III. Datos Entrada-BE'!C43+273)-303.16)/(1.987*('III. Datos Entrada-BE'!C43+273)*303.16))))</f>
        <v>0.104</v>
      </c>
      <c r="E444" s="678">
        <f t="shared" si="51"/>
        <v>0.16600000000000001</v>
      </c>
      <c r="F444" s="677">
        <f>(E444*'III. Datos Entrada-BE'!K90*'III. Datos Entrada-BE'!$K$192*C444*0.8)+G444</f>
        <v>0</v>
      </c>
      <c r="G444" s="670">
        <f>IF('III. Datos Entrada-BE'!$E$165=B443,0,IF('III. Datos Entrada-BE'!$F$165=B443,0,IF('III. Datos Entrada-BE'!$G$165=B443,0,IF('III. Datos Entrada-BE'!$C$165="Sí",0,(F443-H443)))))</f>
        <v>0</v>
      </c>
      <c r="H444" s="575">
        <f t="shared" si="53"/>
        <v>0</v>
      </c>
      <c r="I444" s="575">
        <f>IF('III. Datos Entrada-BE'!D43=0,0,H444*'III. Datos Entrada-BE'!$C$128*0.717*0.001)*('III. Datos Entrada-BE'!G43/'III. Datos Entrada-BE'!E43)</f>
        <v>0</v>
      </c>
      <c r="J444" s="676">
        <f t="shared" si="52"/>
        <v>0</v>
      </c>
      <c r="K444" s="38"/>
      <c r="L444" s="38"/>
      <c r="M444" s="39"/>
    </row>
    <row r="445" spans="1:94" s="9" customFormat="1" ht="13.5" thickBot="1" x14ac:dyDescent="0.35">
      <c r="B445" s="27" t="s">
        <v>166</v>
      </c>
      <c r="C445" s="504"/>
      <c r="D445" s="505"/>
      <c r="E445" s="505"/>
      <c r="F445" s="506"/>
      <c r="G445" s="507"/>
      <c r="H445" s="906">
        <f>SUM(H433:H444)</f>
        <v>0</v>
      </c>
      <c r="I445" s="376">
        <f>SUM(I433:I444)</f>
        <v>0</v>
      </c>
      <c r="J445" s="54">
        <f>SUM(J433:J444)</f>
        <v>0</v>
      </c>
      <c r="K445" s="38"/>
      <c r="L445" s="38"/>
      <c r="M445" s="39"/>
    </row>
    <row r="446" spans="1:94" s="9" customFormat="1" ht="13.5" thickBot="1" x14ac:dyDescent="0.35">
      <c r="C446" s="70"/>
      <c r="D446" s="12"/>
      <c r="E446" s="12"/>
      <c r="F446" s="8"/>
      <c r="G446" s="8"/>
      <c r="H446" s="12"/>
      <c r="I446" s="12"/>
      <c r="J446" s="8"/>
      <c r="K446" s="38"/>
      <c r="L446" s="38"/>
      <c r="M446" s="39"/>
    </row>
    <row r="447" spans="1:94" s="68" customFormat="1" ht="27.5" customHeight="1" thickBot="1" x14ac:dyDescent="0.35">
      <c r="A447" s="9"/>
      <c r="B447" s="1232" t="s">
        <v>928</v>
      </c>
      <c r="C447" s="1233"/>
      <c r="D447" s="1233"/>
      <c r="E447" s="1233"/>
      <c r="F447" s="1234"/>
      <c r="G447" s="456">
        <f>IF('III. Datos Entrada-BE'!C$165="Sí",0,IF('III. Datos Entrada-BE'!E$165=B444,0,IF('III. Datos Entrada-BE'!F$165='V. BE CH4-AS'!B444,0,IF('III. Datos Entrada-BE'!G$165='V. BE CH4-AS'!B444,0,F444-H444))))</f>
        <v>0</v>
      </c>
      <c r="H447" s="12"/>
      <c r="I447" s="12"/>
      <c r="J447" s="8"/>
      <c r="K447" s="38"/>
      <c r="L447" s="38"/>
      <c r="M447" s="3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row>
    <row r="448" spans="1:94" s="9" customFormat="1" ht="128" thickBot="1" x14ac:dyDescent="0.35">
      <c r="B448" s="2"/>
      <c r="C448" s="20"/>
      <c r="D448" s="3"/>
      <c r="E448" s="3"/>
      <c r="F448" s="3"/>
      <c r="G448" s="46" t="s">
        <v>927</v>
      </c>
      <c r="H448" s="12"/>
      <c r="I448" s="12"/>
      <c r="J448" s="8"/>
      <c r="K448" s="38"/>
      <c r="L448" s="38"/>
      <c r="M448" s="39"/>
    </row>
    <row r="449" spans="2:13" s="9" customFormat="1" ht="13" x14ac:dyDescent="0.3">
      <c r="C449" s="70"/>
      <c r="D449" s="12"/>
      <c r="E449" s="12"/>
      <c r="F449" s="8"/>
      <c r="G449" s="8"/>
      <c r="H449" s="12"/>
      <c r="I449" s="12"/>
      <c r="J449" s="8"/>
      <c r="K449" s="38"/>
      <c r="L449" s="38"/>
      <c r="M449" s="39"/>
    </row>
    <row r="450" spans="2:13" s="9" customFormat="1" ht="13.5" thickBot="1" x14ac:dyDescent="0.35">
      <c r="C450" s="70"/>
      <c r="D450" s="12"/>
      <c r="E450" s="12"/>
      <c r="F450" s="8"/>
      <c r="G450" s="8"/>
      <c r="H450" s="12"/>
      <c r="I450" s="12"/>
      <c r="J450" s="8"/>
      <c r="K450" s="38"/>
      <c r="L450" s="38"/>
      <c r="M450" s="39"/>
    </row>
    <row r="451" spans="2:13" s="9" customFormat="1" ht="13" x14ac:dyDescent="0.3">
      <c r="C451" s="70"/>
      <c r="D451" s="12"/>
      <c r="E451" s="1083" t="s">
        <v>924</v>
      </c>
      <c r="F451" s="1109"/>
      <c r="G451" s="1109"/>
      <c r="H451" s="1109"/>
      <c r="I451" s="1109"/>
      <c r="J451" s="1110"/>
      <c r="K451" s="38"/>
      <c r="L451" s="38"/>
      <c r="M451" s="39"/>
    </row>
    <row r="452" spans="2:13" s="9" customFormat="1" ht="13.5" thickBot="1" x14ac:dyDescent="0.35">
      <c r="C452" s="70"/>
      <c r="D452" s="12"/>
      <c r="E452" s="1107"/>
      <c r="F452" s="1111"/>
      <c r="G452" s="1111"/>
      <c r="H452" s="1111"/>
      <c r="I452" s="1111"/>
      <c r="J452" s="1112"/>
      <c r="K452" s="38"/>
      <c r="L452" s="38"/>
      <c r="M452" s="39"/>
    </row>
    <row r="453" spans="2:13" s="9" customFormat="1" ht="26.5" thickBot="1" x14ac:dyDescent="0.35">
      <c r="B453" s="23" t="str">
        <f>'III. Datos Entrada-BE'!C62</f>
        <v>Cerdos en crecimiento 
Growing swine</v>
      </c>
      <c r="C453" s="24">
        <f>'III. Datos Entrada-BE'!B136</f>
        <v>0</v>
      </c>
      <c r="D453" s="25"/>
      <c r="E453" s="1113"/>
      <c r="F453" s="1114"/>
      <c r="G453" s="1114"/>
      <c r="H453" s="1114"/>
      <c r="I453" s="1114"/>
      <c r="J453" s="1115"/>
      <c r="K453" s="38"/>
      <c r="L453" s="38"/>
      <c r="M453" s="39"/>
    </row>
    <row r="454" spans="2:13" s="9" customFormat="1" ht="15" x14ac:dyDescent="0.4">
      <c r="B454" s="574" t="s">
        <v>158</v>
      </c>
      <c r="C454" s="666">
        <f>'III. Datos Entrada-BE'!D113</f>
        <v>0.40500000000000003</v>
      </c>
      <c r="D454" s="3"/>
      <c r="E454" s="8"/>
      <c r="F454" s="12"/>
      <c r="G454" s="12"/>
      <c r="H454" s="12"/>
      <c r="I454" s="12"/>
      <c r="J454" s="12"/>
      <c r="K454" s="38"/>
      <c r="L454" s="38"/>
      <c r="M454" s="39"/>
    </row>
    <row r="455" spans="2:13" s="9" customFormat="1" ht="13.5" thickBot="1" x14ac:dyDescent="0.35">
      <c r="B455" s="69"/>
      <c r="C455" s="420"/>
      <c r="D455" s="3"/>
      <c r="E455" s="8"/>
      <c r="F455" s="12"/>
      <c r="G455" s="12"/>
      <c r="H455" s="12"/>
      <c r="I455" s="12"/>
      <c r="J455" s="12"/>
      <c r="K455" s="38"/>
      <c r="L455" s="38"/>
      <c r="M455" s="39"/>
    </row>
    <row r="456" spans="2:13" ht="27.5" thickBot="1" x14ac:dyDescent="0.45">
      <c r="B456" s="905" t="s">
        <v>442</v>
      </c>
      <c r="C456" s="269" t="s">
        <v>922</v>
      </c>
      <c r="D456" s="59" t="s">
        <v>159</v>
      </c>
      <c r="E456" s="60" t="s">
        <v>160</v>
      </c>
      <c r="F456" s="61" t="s">
        <v>161</v>
      </c>
      <c r="G456" s="60" t="s">
        <v>162</v>
      </c>
      <c r="H456" s="61" t="s">
        <v>163</v>
      </c>
      <c r="I456" s="62" t="s">
        <v>164</v>
      </c>
      <c r="J456" s="63" t="s">
        <v>165</v>
      </c>
    </row>
    <row r="457" spans="2:13" s="9" customFormat="1" ht="13" x14ac:dyDescent="0.3">
      <c r="B457" s="29" t="str">
        <f>'III. Datos Entrada-BE'!$B$32</f>
        <v>enero</v>
      </c>
      <c r="C457" s="416">
        <f>'III. Datos Entrada-BE'!$E$32</f>
        <v>31</v>
      </c>
      <c r="D457" s="50">
        <f>MIN(0.95, MAX(0.104,EXP(15175*(('III. Datos Entrada-BE'!C32+273)-303.16)/(1.987*('III. Datos Entrada-BE'!C32+273)*303.16))))</f>
        <v>0.104</v>
      </c>
      <c r="E457" s="51">
        <f t="shared" ref="E457:E468" si="54">$C$454</f>
        <v>0.40500000000000003</v>
      </c>
      <c r="F457" s="50">
        <f>(E457*'III. Datos Entrada-BE'!L79*'III. Datos Entrada-BE'!$L$191*C457*0.8)+G457</f>
        <v>0</v>
      </c>
      <c r="G457" s="32">
        <v>0</v>
      </c>
      <c r="H457" s="31">
        <f>F457*D457</f>
        <v>0</v>
      </c>
      <c r="I457" s="31">
        <f>IF('III. Datos Entrada-BE'!D32=0,0,H457*'III. Datos Entrada-BE'!$C$129*0.717*0.001)*('III. Datos Entrada-BE'!G32/'III. Datos Entrada-BE'!E32)</f>
        <v>0</v>
      </c>
      <c r="J457" s="33">
        <f t="shared" ref="J457:J468" si="55">I457*PCG</f>
        <v>0</v>
      </c>
      <c r="K457" s="38"/>
      <c r="L457" s="38"/>
      <c r="M457" s="39"/>
    </row>
    <row r="458" spans="2:13" s="9" customFormat="1" ht="13" x14ac:dyDescent="0.3">
      <c r="B458" s="529" t="str">
        <f>'III. Datos Entrada-BE'!$B$33</f>
        <v>febrero</v>
      </c>
      <c r="C458" s="667">
        <f>'III. Datos Entrada-BE'!$E$33</f>
        <v>28</v>
      </c>
      <c r="D458" s="675">
        <f>MIN(0.95, MAX(0.104,EXP(15175*(('III. Datos Entrada-BE'!C33+273)-303.16)/(1.987*('III. Datos Entrada-BE'!C33+273)*303.16))))</f>
        <v>0.104</v>
      </c>
      <c r="E458" s="620">
        <f t="shared" si="54"/>
        <v>0.40500000000000003</v>
      </c>
      <c r="F458" s="675">
        <f>(E458*'III. Datos Entrada-BE'!L80*'III. Datos Entrada-BE'!$L$191*C458*0.8)+G458</f>
        <v>0</v>
      </c>
      <c r="G458" s="670">
        <f>IF('III. Datos Entrada-BE'!$E$164=B457,0,IF('III. Datos Entrada-BE'!$F$164=B457,0,IF('III. Datos Entrada-BE'!$G$164=B457,0,IF('III. Datos Entrada-BE'!$C$164="Sí",0,(F457-H457)))))</f>
        <v>0</v>
      </c>
      <c r="H458" s="668">
        <f t="shared" ref="H458:H468" si="56">F458*D458</f>
        <v>0</v>
      </c>
      <c r="I458" s="668">
        <f>IF('III. Datos Entrada-BE'!D33=0,0,H458*'III. Datos Entrada-BE'!$C$129*0.717*0.001)*('III. Datos Entrada-BE'!G33/'III. Datos Entrada-BE'!E33)</f>
        <v>0</v>
      </c>
      <c r="J458" s="676">
        <f t="shared" si="55"/>
        <v>0</v>
      </c>
      <c r="K458" s="38"/>
      <c r="L458" s="38"/>
      <c r="M458" s="39"/>
    </row>
    <row r="459" spans="2:13" s="9" customFormat="1" ht="13" x14ac:dyDescent="0.3">
      <c r="B459" s="529" t="str">
        <f>'III. Datos Entrada-BE'!$B$34</f>
        <v>marzo</v>
      </c>
      <c r="C459" s="667">
        <f>'III. Datos Entrada-BE'!$E$34</f>
        <v>31</v>
      </c>
      <c r="D459" s="675">
        <f>MIN(0.95, MAX(0.104,EXP(15175*(('III. Datos Entrada-BE'!C34+273)-303.16)/(1.987*('III. Datos Entrada-BE'!C34+273)*303.16))))</f>
        <v>0.104</v>
      </c>
      <c r="E459" s="620">
        <f t="shared" si="54"/>
        <v>0.40500000000000003</v>
      </c>
      <c r="F459" s="675">
        <f>(E459*'III. Datos Entrada-BE'!L81*'III. Datos Entrada-BE'!$L$191*C459*0.8)+G459</f>
        <v>0</v>
      </c>
      <c r="G459" s="670">
        <f>IF('III. Datos Entrada-BE'!$E$164=B458,0,IF('III. Datos Entrada-BE'!$F$164=B458,0,IF('III. Datos Entrada-BE'!$G$164=B458,0,IF('III. Datos Entrada-BE'!$C$164="Sí",0,(F458-H458)))))</f>
        <v>0</v>
      </c>
      <c r="H459" s="668">
        <f t="shared" si="56"/>
        <v>0</v>
      </c>
      <c r="I459" s="668">
        <f>IF('III. Datos Entrada-BE'!D34=0,0,H459*'III. Datos Entrada-BE'!$C$129*0.717*0.001)*('III. Datos Entrada-BE'!G34/'III. Datos Entrada-BE'!E34)</f>
        <v>0</v>
      </c>
      <c r="J459" s="676">
        <f t="shared" si="55"/>
        <v>0</v>
      </c>
      <c r="K459" s="38"/>
      <c r="L459" s="38"/>
      <c r="M459" s="39"/>
    </row>
    <row r="460" spans="2:13" s="9" customFormat="1" ht="13" x14ac:dyDescent="0.3">
      <c r="B460" s="529" t="str">
        <f>'III. Datos Entrada-BE'!$B$35</f>
        <v>abril</v>
      </c>
      <c r="C460" s="667">
        <f>'III. Datos Entrada-BE'!$E$35</f>
        <v>30</v>
      </c>
      <c r="D460" s="675">
        <f>MIN(0.95, MAX(0.104,EXP(15175*(('III. Datos Entrada-BE'!C35+273)-303.16)/(1.987*('III. Datos Entrada-BE'!C35+273)*303.16))))</f>
        <v>0.104</v>
      </c>
      <c r="E460" s="620">
        <f t="shared" si="54"/>
        <v>0.40500000000000003</v>
      </c>
      <c r="F460" s="675">
        <f>(E460*'III. Datos Entrada-BE'!L82*'III. Datos Entrada-BE'!$L$191*C460*0.8)+G460</f>
        <v>0</v>
      </c>
      <c r="G460" s="670">
        <f>IF('III. Datos Entrada-BE'!$E$164=B459,0,IF('III. Datos Entrada-BE'!$F$164=B459,0,IF('III. Datos Entrada-BE'!$G$164=B459,0,IF('III. Datos Entrada-BE'!$C$164="Sí",0,(F459-H459)))))</f>
        <v>0</v>
      </c>
      <c r="H460" s="668">
        <f t="shared" si="56"/>
        <v>0</v>
      </c>
      <c r="I460" s="668">
        <f>IF('III. Datos Entrada-BE'!D35=0,0,H460*'III. Datos Entrada-BE'!$C$129*0.717*0.001)*('III. Datos Entrada-BE'!G35/'III. Datos Entrada-BE'!E35)</f>
        <v>0</v>
      </c>
      <c r="J460" s="676">
        <f t="shared" si="55"/>
        <v>0</v>
      </c>
      <c r="K460" s="38"/>
      <c r="L460" s="38"/>
      <c r="M460" s="39"/>
    </row>
    <row r="461" spans="2:13" s="9" customFormat="1" ht="13" x14ac:dyDescent="0.3">
      <c r="B461" s="529" t="str">
        <f>'III. Datos Entrada-BE'!$B$36</f>
        <v>mayo</v>
      </c>
      <c r="C461" s="667">
        <f>'III. Datos Entrada-BE'!$E$36</f>
        <v>31</v>
      </c>
      <c r="D461" s="675">
        <f>MIN(0.95, MAX(0.104,EXP(15175*(('III. Datos Entrada-BE'!C36+273)-303.16)/(1.987*('III. Datos Entrada-BE'!C36+273)*303.16))))</f>
        <v>0.104</v>
      </c>
      <c r="E461" s="620">
        <f t="shared" si="54"/>
        <v>0.40500000000000003</v>
      </c>
      <c r="F461" s="675">
        <f>(E461*'III. Datos Entrada-BE'!L83*'III. Datos Entrada-BE'!$L$191*C461*0.8)+G461</f>
        <v>0</v>
      </c>
      <c r="G461" s="670">
        <f>IF('III. Datos Entrada-BE'!$E$164=B460,0,IF('III. Datos Entrada-BE'!$F$164=B460,0,IF('III. Datos Entrada-BE'!$G$164=B460,0,IF('III. Datos Entrada-BE'!$C$164="Sí",0,(F460-H460)))))</f>
        <v>0</v>
      </c>
      <c r="H461" s="668">
        <f t="shared" si="56"/>
        <v>0</v>
      </c>
      <c r="I461" s="668">
        <f>IF('III. Datos Entrada-BE'!D36=0,0,H461*'III. Datos Entrada-BE'!$C$129*0.717*0.001)*('III. Datos Entrada-BE'!G36/'III. Datos Entrada-BE'!E36)</f>
        <v>0</v>
      </c>
      <c r="J461" s="676">
        <f t="shared" si="55"/>
        <v>0</v>
      </c>
      <c r="K461" s="38"/>
      <c r="L461" s="38"/>
      <c r="M461" s="39"/>
    </row>
    <row r="462" spans="2:13" s="9" customFormat="1" ht="13" x14ac:dyDescent="0.3">
      <c r="B462" s="529" t="str">
        <f>'III. Datos Entrada-BE'!$B$37</f>
        <v>junio</v>
      </c>
      <c r="C462" s="667">
        <f>'III. Datos Entrada-BE'!$E$37</f>
        <v>30</v>
      </c>
      <c r="D462" s="675">
        <f>MIN(0.95, MAX(0.104,EXP(15175*(('III. Datos Entrada-BE'!C37+273)-303.16)/(1.987*('III. Datos Entrada-BE'!C37+273)*303.16))))</f>
        <v>0.104</v>
      </c>
      <c r="E462" s="620">
        <f t="shared" si="54"/>
        <v>0.40500000000000003</v>
      </c>
      <c r="F462" s="675">
        <f>(E462*'III. Datos Entrada-BE'!L84*'III. Datos Entrada-BE'!$L$191*C462*0.8)+G462</f>
        <v>0</v>
      </c>
      <c r="G462" s="670">
        <f>IF('III. Datos Entrada-BE'!$E$164=B461,0,IF('III. Datos Entrada-BE'!$F$164=B461,0,IF('III. Datos Entrada-BE'!$G$164=B461,0,IF('III. Datos Entrada-BE'!$C$164="Sí",0,(F461-H461)))))</f>
        <v>0</v>
      </c>
      <c r="H462" s="668">
        <f t="shared" si="56"/>
        <v>0</v>
      </c>
      <c r="I462" s="668">
        <f>IF('III. Datos Entrada-BE'!D37=0,0,H462*'III. Datos Entrada-BE'!$C$129*0.717*0.001)*('III. Datos Entrada-BE'!G37/'III. Datos Entrada-BE'!E37)</f>
        <v>0</v>
      </c>
      <c r="J462" s="676">
        <f t="shared" si="55"/>
        <v>0</v>
      </c>
      <c r="K462" s="38"/>
      <c r="L462" s="38"/>
      <c r="M462" s="39"/>
    </row>
    <row r="463" spans="2:13" s="9" customFormat="1" ht="13" x14ac:dyDescent="0.3">
      <c r="B463" s="529" t="str">
        <f>'III. Datos Entrada-BE'!$B$38</f>
        <v>julio</v>
      </c>
      <c r="C463" s="667">
        <f>'III. Datos Entrada-BE'!$E$38</f>
        <v>31</v>
      </c>
      <c r="D463" s="675">
        <f>MIN(0.95, MAX(0.104,EXP(15175*(('III. Datos Entrada-BE'!C38+273)-303.16)/(1.987*('III. Datos Entrada-BE'!C38+273)*303.16))))</f>
        <v>0.104</v>
      </c>
      <c r="E463" s="620">
        <f t="shared" si="54"/>
        <v>0.40500000000000003</v>
      </c>
      <c r="F463" s="675">
        <f>(E463*'III. Datos Entrada-BE'!L85*'III. Datos Entrada-BE'!$L$191*C463*0.8)+G463</f>
        <v>0</v>
      </c>
      <c r="G463" s="670">
        <f>IF('III. Datos Entrada-BE'!$E$164=B462,0,IF('III. Datos Entrada-BE'!$F$164=B462,0,IF('III. Datos Entrada-BE'!$G$164=B462,0,IF('III. Datos Entrada-BE'!$C$164="Sí",0,(F462-H462)))))</f>
        <v>0</v>
      </c>
      <c r="H463" s="668">
        <f t="shared" si="56"/>
        <v>0</v>
      </c>
      <c r="I463" s="668">
        <f>IF('III. Datos Entrada-BE'!D38=0,0,H463*'III. Datos Entrada-BE'!$C$129*0.717*0.001)*('III. Datos Entrada-BE'!G38/'III. Datos Entrada-BE'!E38)</f>
        <v>0</v>
      </c>
      <c r="J463" s="676">
        <f t="shared" si="55"/>
        <v>0</v>
      </c>
      <c r="K463" s="38"/>
      <c r="L463" s="38"/>
      <c r="M463" s="39"/>
    </row>
    <row r="464" spans="2:13" s="9" customFormat="1" ht="13" x14ac:dyDescent="0.3">
      <c r="B464" s="529" t="str">
        <f>'III. Datos Entrada-BE'!$B$39</f>
        <v>agosto</v>
      </c>
      <c r="C464" s="667">
        <f>'III. Datos Entrada-BE'!$E$39</f>
        <v>31</v>
      </c>
      <c r="D464" s="675">
        <f>MIN(0.95, MAX(0.104,EXP(15175*(('III. Datos Entrada-BE'!C39+273)-303.16)/(1.987*('III. Datos Entrada-BE'!C39+273)*303.16))))</f>
        <v>0.104</v>
      </c>
      <c r="E464" s="620">
        <f t="shared" si="54"/>
        <v>0.40500000000000003</v>
      </c>
      <c r="F464" s="675">
        <f>(E464*'III. Datos Entrada-BE'!L86*'III. Datos Entrada-BE'!$L$191*C464*0.8)+G464</f>
        <v>0</v>
      </c>
      <c r="G464" s="670">
        <f>IF('III. Datos Entrada-BE'!$E$164=B463,0,IF('III. Datos Entrada-BE'!$F$164=B463,0,IF('III. Datos Entrada-BE'!$G$164=B463,0,IF('III. Datos Entrada-BE'!$C$164="Sí",0,(F463-H463)))))</f>
        <v>0</v>
      </c>
      <c r="H464" s="668">
        <f t="shared" si="56"/>
        <v>0</v>
      </c>
      <c r="I464" s="668">
        <f>IF('III. Datos Entrada-BE'!D39=0,0,H464*'III. Datos Entrada-BE'!$C$129*0.717*0.001)*('III. Datos Entrada-BE'!G39/'III. Datos Entrada-BE'!E39)</f>
        <v>0</v>
      </c>
      <c r="J464" s="676">
        <f t="shared" si="55"/>
        <v>0</v>
      </c>
      <c r="K464" s="38"/>
      <c r="L464" s="38"/>
      <c r="M464" s="39"/>
    </row>
    <row r="465" spans="1:94" s="9" customFormat="1" ht="13" x14ac:dyDescent="0.3">
      <c r="B465" s="529" t="str">
        <f>'III. Datos Entrada-BE'!$B$40</f>
        <v>septiembre</v>
      </c>
      <c r="C465" s="667">
        <f>'III. Datos Entrada-BE'!$E$40</f>
        <v>30</v>
      </c>
      <c r="D465" s="675">
        <f>MIN(0.95, MAX(0.104,EXP(15175*(('III. Datos Entrada-BE'!C40+273)-303.16)/(1.987*('III. Datos Entrada-BE'!C40+273)*303.16))))</f>
        <v>0.104</v>
      </c>
      <c r="E465" s="620">
        <f t="shared" si="54"/>
        <v>0.40500000000000003</v>
      </c>
      <c r="F465" s="675">
        <f>(E465*'III. Datos Entrada-BE'!L87*'III. Datos Entrada-BE'!$L$191*C465*0.8)+G465</f>
        <v>0</v>
      </c>
      <c r="G465" s="670">
        <f>IF('III. Datos Entrada-BE'!$E$164=B464,0,IF('III. Datos Entrada-BE'!$F$164=B464,0,IF('III. Datos Entrada-BE'!$G$164=B464,0,IF('III. Datos Entrada-BE'!$C$164="Sí",0,(F464-H464)))))</f>
        <v>0</v>
      </c>
      <c r="H465" s="668">
        <f t="shared" si="56"/>
        <v>0</v>
      </c>
      <c r="I465" s="668">
        <f>IF('III. Datos Entrada-BE'!D40=0,0,H465*'III. Datos Entrada-BE'!$C$129*0.717*0.001)*('III. Datos Entrada-BE'!G40/'III. Datos Entrada-BE'!E40)</f>
        <v>0</v>
      </c>
      <c r="J465" s="676">
        <f t="shared" si="55"/>
        <v>0</v>
      </c>
      <c r="K465" s="38"/>
      <c r="L465" s="38"/>
      <c r="M465" s="39"/>
    </row>
    <row r="466" spans="1:94" s="9" customFormat="1" ht="13" x14ac:dyDescent="0.3">
      <c r="B466" s="529" t="str">
        <f>'III. Datos Entrada-BE'!$B$41</f>
        <v>octubre</v>
      </c>
      <c r="C466" s="667">
        <f>'III. Datos Entrada-BE'!$E$41</f>
        <v>31</v>
      </c>
      <c r="D466" s="675">
        <f>MIN(0.95, MAX(0.104,EXP(15175*(('III. Datos Entrada-BE'!C41+273)-303.16)/(1.987*('III. Datos Entrada-BE'!C41+273)*303.16))))</f>
        <v>0.104</v>
      </c>
      <c r="E466" s="620">
        <f t="shared" si="54"/>
        <v>0.40500000000000003</v>
      </c>
      <c r="F466" s="675">
        <f>(E466*'III. Datos Entrada-BE'!L88*'III. Datos Entrada-BE'!$L$191*C466*0.8)+G466</f>
        <v>0</v>
      </c>
      <c r="G466" s="670">
        <f>IF('III. Datos Entrada-BE'!$E$164=B465,0,IF('III. Datos Entrada-BE'!$F$164=B465,0,IF('III. Datos Entrada-BE'!$G$164=B465,0,IF('III. Datos Entrada-BE'!$C$164="Sí",0,(F465-H465)))))</f>
        <v>0</v>
      </c>
      <c r="H466" s="668">
        <f t="shared" si="56"/>
        <v>0</v>
      </c>
      <c r="I466" s="668">
        <f>IF('III. Datos Entrada-BE'!D41=0,0,H466*'III. Datos Entrada-BE'!$C$129*0.717*0.001)*('III. Datos Entrada-BE'!G41/'III. Datos Entrada-BE'!E41)</f>
        <v>0</v>
      </c>
      <c r="J466" s="676">
        <f t="shared" si="55"/>
        <v>0</v>
      </c>
      <c r="K466" s="38"/>
      <c r="L466" s="38"/>
      <c r="M466" s="39"/>
    </row>
    <row r="467" spans="1:94" s="9" customFormat="1" ht="13" x14ac:dyDescent="0.3">
      <c r="B467" s="529" t="str">
        <f>'III. Datos Entrada-BE'!$B$42</f>
        <v>noviembre</v>
      </c>
      <c r="C467" s="667">
        <f>'III. Datos Entrada-BE'!$E$42</f>
        <v>30</v>
      </c>
      <c r="D467" s="675">
        <f>MIN(0.95, MAX(0.104,EXP(15175*(('III. Datos Entrada-BE'!C42+273)-303.16)/(1.987*('III. Datos Entrada-BE'!C42+273)*303.16))))</f>
        <v>0.104</v>
      </c>
      <c r="E467" s="620">
        <f t="shared" si="54"/>
        <v>0.40500000000000003</v>
      </c>
      <c r="F467" s="675">
        <f>(E467*'III. Datos Entrada-BE'!L89*'III. Datos Entrada-BE'!$L$191*C467*0.8)+G467</f>
        <v>0</v>
      </c>
      <c r="G467" s="670">
        <f>IF('III. Datos Entrada-BE'!$E$164=B466,0,IF('III. Datos Entrada-BE'!$F$164=B466,0,IF('III. Datos Entrada-BE'!$G$164=B466,0,IF('III. Datos Entrada-BE'!$C$164="Sí",0,(F466-H466)))))</f>
        <v>0</v>
      </c>
      <c r="H467" s="668">
        <f t="shared" si="56"/>
        <v>0</v>
      </c>
      <c r="I467" s="668">
        <f>IF('III. Datos Entrada-BE'!D42=0,0,H467*'III. Datos Entrada-BE'!$C$129*0.717*0.001)*('III. Datos Entrada-BE'!G42/'III. Datos Entrada-BE'!E42)</f>
        <v>0</v>
      </c>
      <c r="J467" s="676">
        <f t="shared" si="55"/>
        <v>0</v>
      </c>
      <c r="K467" s="38"/>
      <c r="L467" s="38"/>
      <c r="M467" s="39"/>
    </row>
    <row r="468" spans="1:94" s="9" customFormat="1" ht="13.5" thickBot="1" x14ac:dyDescent="0.35">
      <c r="B468" s="553" t="str">
        <f>'III. Datos Entrada-BE'!$B$43</f>
        <v>diciembre</v>
      </c>
      <c r="C468" s="671">
        <f>'III. Datos Entrada-BE'!$E$43</f>
        <v>31</v>
      </c>
      <c r="D468" s="508">
        <f>MIN(0.95, MAX(0.104,EXP(15175*(('III. Datos Entrada-BE'!C43+273)-303.16)/(1.987*('III. Datos Entrada-BE'!C43+273)*303.16))))</f>
        <v>0.104</v>
      </c>
      <c r="E468" s="678">
        <f t="shared" si="54"/>
        <v>0.40500000000000003</v>
      </c>
      <c r="F468" s="677">
        <f>(E468*'III. Datos Entrada-BE'!L90*'III. Datos Entrada-BE'!$L$191*C468*0.8)+G468</f>
        <v>0</v>
      </c>
      <c r="G468" s="670">
        <f>IF('III. Datos Entrada-BE'!$E$164=B467,0,IF('III. Datos Entrada-BE'!$F$164=B467,0,IF('III. Datos Entrada-BE'!$G$164=B467,0,IF('III. Datos Entrada-BE'!$C$164="Sí",0,(F467-H467)))))</f>
        <v>0</v>
      </c>
      <c r="H468" s="575">
        <f t="shared" si="56"/>
        <v>0</v>
      </c>
      <c r="I468" s="575">
        <f>IF('III. Datos Entrada-BE'!D43=0,0,H468*'III. Datos Entrada-BE'!$C$129*0.717*0.001)*('III. Datos Entrada-BE'!G43/'III. Datos Entrada-BE'!E43)</f>
        <v>0</v>
      </c>
      <c r="J468" s="676">
        <f t="shared" si="55"/>
        <v>0</v>
      </c>
      <c r="K468" s="38"/>
      <c r="L468" s="38"/>
      <c r="M468" s="39"/>
    </row>
    <row r="469" spans="1:94" s="9" customFormat="1" ht="13.5" thickBot="1" x14ac:dyDescent="0.35">
      <c r="B469" s="27" t="s">
        <v>166</v>
      </c>
      <c r="C469" s="504"/>
      <c r="D469" s="505"/>
      <c r="E469" s="505"/>
      <c r="F469" s="506"/>
      <c r="G469" s="507"/>
      <c r="H469" s="906">
        <f>SUM(H457:H468)</f>
        <v>0</v>
      </c>
      <c r="I469" s="376">
        <f>SUM(I457:I468)</f>
        <v>0</v>
      </c>
      <c r="J469" s="54">
        <f>SUM(J457:J468)</f>
        <v>0</v>
      </c>
      <c r="K469" s="38"/>
      <c r="L469" s="38"/>
      <c r="M469" s="39"/>
    </row>
    <row r="470" spans="1:94" s="9" customFormat="1" ht="13.5" thickBot="1" x14ac:dyDescent="0.35">
      <c r="C470" s="70"/>
      <c r="D470" s="12"/>
      <c r="E470" s="12"/>
      <c r="F470" s="8"/>
      <c r="G470" s="8"/>
      <c r="H470" s="12"/>
      <c r="I470" s="12"/>
      <c r="J470" s="8"/>
      <c r="K470" s="38"/>
      <c r="L470" s="38"/>
      <c r="M470" s="39"/>
    </row>
    <row r="471" spans="1:94" s="68" customFormat="1" ht="29" customHeight="1" thickBot="1" x14ac:dyDescent="0.35">
      <c r="A471" s="9"/>
      <c r="B471" s="1232" t="s">
        <v>928</v>
      </c>
      <c r="C471" s="1233"/>
      <c r="D471" s="1233"/>
      <c r="E471" s="1233"/>
      <c r="F471" s="1234"/>
      <c r="G471" s="456">
        <f>IF('III. Datos Entrada-BE'!C$164="Sí",0,IF('III. Datos Entrada-BE'!E$164=B468,0,IF('III. Datos Entrada-BE'!F$164='V. BE CH4-AS'!B468,0,IF('III. Datos Entrada-BE'!G$164='V. BE CH4-AS'!B468,0,F468-H468))))</f>
        <v>0</v>
      </c>
      <c r="H471" s="12"/>
      <c r="I471" s="12"/>
      <c r="J471" s="8"/>
      <c r="K471" s="38"/>
      <c r="L471" s="38"/>
      <c r="M471" s="3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row>
    <row r="472" spans="1:94" s="9" customFormat="1" ht="128" thickBot="1" x14ac:dyDescent="0.35">
      <c r="B472" s="2"/>
      <c r="C472" s="20"/>
      <c r="D472" s="3"/>
      <c r="E472" s="3"/>
      <c r="F472" s="3"/>
      <c r="G472" s="46" t="s">
        <v>927</v>
      </c>
      <c r="H472" s="12"/>
      <c r="I472" s="12"/>
      <c r="J472" s="8"/>
      <c r="K472" s="38"/>
      <c r="L472" s="38"/>
      <c r="M472" s="39"/>
    </row>
    <row r="473" spans="1:94" s="9" customFormat="1" ht="13" x14ac:dyDescent="0.3">
      <c r="C473" s="70"/>
      <c r="D473" s="12"/>
      <c r="E473" s="12"/>
      <c r="F473" s="8"/>
      <c r="G473" s="8"/>
      <c r="H473" s="12"/>
      <c r="I473" s="12"/>
      <c r="J473" s="8"/>
      <c r="K473" s="38"/>
      <c r="L473" s="38"/>
      <c r="M473" s="39"/>
    </row>
    <row r="474" spans="1:94" s="9" customFormat="1" ht="13.5" thickBot="1" x14ac:dyDescent="0.35">
      <c r="C474" s="70"/>
      <c r="D474" s="12"/>
      <c r="E474" s="12"/>
      <c r="F474" s="8"/>
      <c r="G474" s="8"/>
      <c r="H474" s="12"/>
      <c r="I474" s="12"/>
      <c r="J474" s="8"/>
      <c r="K474" s="38"/>
      <c r="L474" s="38"/>
      <c r="M474" s="39"/>
    </row>
    <row r="475" spans="1:94" s="9" customFormat="1" ht="13" x14ac:dyDescent="0.3">
      <c r="C475" s="70"/>
      <c r="D475" s="12"/>
      <c r="E475" s="1083" t="s">
        <v>924</v>
      </c>
      <c r="F475" s="1109"/>
      <c r="G475" s="1109"/>
      <c r="H475" s="1109"/>
      <c r="I475" s="1109"/>
      <c r="J475" s="1110"/>
      <c r="K475" s="38"/>
      <c r="L475" s="38"/>
      <c r="M475" s="39"/>
    </row>
    <row r="476" spans="1:94" s="9" customFormat="1" ht="13.5" thickBot="1" x14ac:dyDescent="0.35">
      <c r="C476" s="70"/>
      <c r="D476" s="12"/>
      <c r="E476" s="1107"/>
      <c r="F476" s="1111"/>
      <c r="G476" s="1111"/>
      <c r="H476" s="1111"/>
      <c r="I476" s="1111"/>
      <c r="J476" s="1112"/>
      <c r="K476" s="38"/>
      <c r="L476" s="38"/>
      <c r="M476" s="39"/>
    </row>
    <row r="477" spans="1:94" s="9" customFormat="1" ht="26.5" thickBot="1" x14ac:dyDescent="0.35">
      <c r="B477" s="23" t="str">
        <f>B453</f>
        <v>Cerdos en crecimiento 
Growing swine</v>
      </c>
      <c r="C477" s="24">
        <f>'III. Datos Entrada-BE'!B137</f>
        <v>0</v>
      </c>
      <c r="D477" s="25"/>
      <c r="E477" s="1113"/>
      <c r="F477" s="1114"/>
      <c r="G477" s="1114"/>
      <c r="H477" s="1114"/>
      <c r="I477" s="1114"/>
      <c r="J477" s="1115"/>
      <c r="K477" s="38"/>
      <c r="L477" s="38"/>
      <c r="M477" s="39"/>
    </row>
    <row r="478" spans="1:94" s="9" customFormat="1" ht="15" x14ac:dyDescent="0.4">
      <c r="B478" s="574" t="s">
        <v>158</v>
      </c>
      <c r="C478" s="666">
        <f>C454</f>
        <v>0.40500000000000003</v>
      </c>
      <c r="D478" s="3"/>
      <c r="E478" s="8"/>
      <c r="F478" s="12"/>
      <c r="G478" s="12"/>
      <c r="H478" s="12"/>
      <c r="I478" s="12"/>
      <c r="J478" s="12"/>
      <c r="K478" s="38"/>
      <c r="L478" s="38"/>
      <c r="M478" s="39"/>
    </row>
    <row r="479" spans="1:94" s="9" customFormat="1" ht="13.5" thickBot="1" x14ac:dyDescent="0.35">
      <c r="B479" s="27"/>
      <c r="C479" s="415"/>
      <c r="D479" s="3"/>
      <c r="E479" s="8"/>
      <c r="F479" s="12"/>
      <c r="G479" s="12"/>
      <c r="H479" s="12"/>
      <c r="I479" s="12"/>
      <c r="J479" s="12"/>
      <c r="K479" s="38"/>
      <c r="L479" s="38"/>
      <c r="M479" s="39"/>
    </row>
    <row r="480" spans="1:94" ht="27.5" thickBot="1" x14ac:dyDescent="0.45">
      <c r="B480" s="905" t="s">
        <v>442</v>
      </c>
      <c r="C480" s="269" t="s">
        <v>922</v>
      </c>
      <c r="D480" s="59" t="s">
        <v>159</v>
      </c>
      <c r="E480" s="60" t="s">
        <v>160</v>
      </c>
      <c r="F480" s="61" t="s">
        <v>161</v>
      </c>
      <c r="G480" s="60" t="s">
        <v>162</v>
      </c>
      <c r="H480" s="61" t="s">
        <v>163</v>
      </c>
      <c r="I480" s="62" t="s">
        <v>164</v>
      </c>
      <c r="J480" s="63" t="s">
        <v>165</v>
      </c>
    </row>
    <row r="481" spans="1:94" s="9" customFormat="1" ht="13" x14ac:dyDescent="0.3">
      <c r="B481" s="29" t="str">
        <f>'III. Datos Entrada-BE'!$B$32</f>
        <v>enero</v>
      </c>
      <c r="C481" s="416">
        <f>'III. Datos Entrada-BE'!$E$32</f>
        <v>31</v>
      </c>
      <c r="D481" s="50">
        <f>MIN(0.95, MAX(0.104,EXP(15175*(('III. Datos Entrada-BE'!C32+273)-303.16)/(1.987*('III. Datos Entrada-BE'!C32+273)*303.16))))</f>
        <v>0.104</v>
      </c>
      <c r="E481" s="51">
        <f t="shared" ref="E481:E492" si="57">$C$478</f>
        <v>0.40500000000000003</v>
      </c>
      <c r="F481" s="50">
        <f>(E481*'III. Datos Entrada-BE'!L79*'III. Datos Entrada-BE'!$L$192*C481*0.8)+G481</f>
        <v>0</v>
      </c>
      <c r="G481" s="32"/>
      <c r="H481" s="31">
        <f>F481*D481</f>
        <v>0</v>
      </c>
      <c r="I481" s="31">
        <f>IF('III. Datos Entrada-BE'!D32=0,0,H481*'III. Datos Entrada-BE'!$C$129*0.717*0.001)*('III. Datos Entrada-BE'!G32/'III. Datos Entrada-BE'!E32)</f>
        <v>0</v>
      </c>
      <c r="J481" s="33">
        <f t="shared" ref="J481:J492" si="58">I481*PCG</f>
        <v>0</v>
      </c>
      <c r="K481" s="38"/>
      <c r="L481" s="38"/>
      <c r="M481" s="39"/>
    </row>
    <row r="482" spans="1:94" s="9" customFormat="1" ht="13" x14ac:dyDescent="0.3">
      <c r="B482" s="529" t="str">
        <f>'III. Datos Entrada-BE'!$B$33</f>
        <v>febrero</v>
      </c>
      <c r="C482" s="667">
        <f>'III. Datos Entrada-BE'!$E$33</f>
        <v>28</v>
      </c>
      <c r="D482" s="675">
        <f>MIN(0.95, MAX(0.104,EXP(15175*(('III. Datos Entrada-BE'!C33+273)-303.16)/(1.987*('III. Datos Entrada-BE'!C33+273)*303.16))))</f>
        <v>0.104</v>
      </c>
      <c r="E482" s="620">
        <f t="shared" si="57"/>
        <v>0.40500000000000003</v>
      </c>
      <c r="F482" s="675">
        <f>(E482*'III. Datos Entrada-BE'!L80*'III. Datos Entrada-BE'!$L$192*C482*0.8)+G482</f>
        <v>0</v>
      </c>
      <c r="G482" s="670">
        <f>IF('III. Datos Entrada-BE'!$E$165=B481,0,IF('III. Datos Entrada-BE'!$F$165=B481,0,IF('III. Datos Entrada-BE'!$G$165=B481,0,IF('III. Datos Entrada-BE'!$C$165="Sí",0,(F481-H481)))))</f>
        <v>0</v>
      </c>
      <c r="H482" s="668">
        <f t="shared" ref="H482:H492" si="59">F482*D482</f>
        <v>0</v>
      </c>
      <c r="I482" s="668">
        <f>IF('III. Datos Entrada-BE'!D33=0,0,H482*'III. Datos Entrada-BE'!$C$129*0.717*0.001)*('III. Datos Entrada-BE'!G33/'III. Datos Entrada-BE'!E33)</f>
        <v>0</v>
      </c>
      <c r="J482" s="676">
        <f t="shared" si="58"/>
        <v>0</v>
      </c>
      <c r="K482" s="38"/>
      <c r="L482" s="38"/>
      <c r="M482" s="39"/>
    </row>
    <row r="483" spans="1:94" s="9" customFormat="1" ht="13" x14ac:dyDescent="0.3">
      <c r="B483" s="529" t="str">
        <f>'III. Datos Entrada-BE'!$B$34</f>
        <v>marzo</v>
      </c>
      <c r="C483" s="667">
        <f>'III. Datos Entrada-BE'!$E$34</f>
        <v>31</v>
      </c>
      <c r="D483" s="675">
        <f>MIN(0.95, MAX(0.104,EXP(15175*(('III. Datos Entrada-BE'!C34+273)-303.16)/(1.987*('III. Datos Entrada-BE'!C34+273)*303.16))))</f>
        <v>0.104</v>
      </c>
      <c r="E483" s="620">
        <f t="shared" si="57"/>
        <v>0.40500000000000003</v>
      </c>
      <c r="F483" s="675">
        <f>(E483*'III. Datos Entrada-BE'!L81*'III. Datos Entrada-BE'!$L$192*C483*0.8)+G483</f>
        <v>0</v>
      </c>
      <c r="G483" s="670">
        <f>IF('III. Datos Entrada-BE'!$E$165=B482,0,IF('III. Datos Entrada-BE'!$F$165=B482,0,IF('III. Datos Entrada-BE'!$G$165=B482,0,IF('III. Datos Entrada-BE'!$C$165="Sí",0,(F482-H482)))))</f>
        <v>0</v>
      </c>
      <c r="H483" s="668">
        <f t="shared" si="59"/>
        <v>0</v>
      </c>
      <c r="I483" s="668">
        <f>IF('III. Datos Entrada-BE'!D34=0,0,H483*'III. Datos Entrada-BE'!$C$129*0.717*0.001)*('III. Datos Entrada-BE'!G34/'III. Datos Entrada-BE'!E34)</f>
        <v>0</v>
      </c>
      <c r="J483" s="676">
        <f t="shared" si="58"/>
        <v>0</v>
      </c>
      <c r="K483" s="38"/>
      <c r="L483" s="38"/>
      <c r="M483" s="39"/>
    </row>
    <row r="484" spans="1:94" s="9" customFormat="1" ht="13" x14ac:dyDescent="0.3">
      <c r="B484" s="529" t="str">
        <f>'III. Datos Entrada-BE'!$B$35</f>
        <v>abril</v>
      </c>
      <c r="C484" s="667">
        <f>'III. Datos Entrada-BE'!$E$35</f>
        <v>30</v>
      </c>
      <c r="D484" s="675">
        <f>MIN(0.95, MAX(0.104,EXP(15175*(('III. Datos Entrada-BE'!C35+273)-303.16)/(1.987*('III. Datos Entrada-BE'!C35+273)*303.16))))</f>
        <v>0.104</v>
      </c>
      <c r="E484" s="620">
        <f t="shared" si="57"/>
        <v>0.40500000000000003</v>
      </c>
      <c r="F484" s="675">
        <f>(E484*'III. Datos Entrada-BE'!L82*'III. Datos Entrada-BE'!$L$192*C484*0.8)+G484</f>
        <v>0</v>
      </c>
      <c r="G484" s="670">
        <f>IF('III. Datos Entrada-BE'!$E$165=B483,0,IF('III. Datos Entrada-BE'!$F$165=B483,0,IF('III. Datos Entrada-BE'!$G$165=B483,0,IF('III. Datos Entrada-BE'!$C$165="Sí",0,(F483-H483)))))</f>
        <v>0</v>
      </c>
      <c r="H484" s="668">
        <f t="shared" si="59"/>
        <v>0</v>
      </c>
      <c r="I484" s="668">
        <f>IF('III. Datos Entrada-BE'!D35=0,0,H484*'III. Datos Entrada-BE'!$C$129*0.717*0.001)*('III. Datos Entrada-BE'!G35/'III. Datos Entrada-BE'!E35)</f>
        <v>0</v>
      </c>
      <c r="J484" s="676">
        <f t="shared" si="58"/>
        <v>0</v>
      </c>
      <c r="K484" s="38"/>
      <c r="L484" s="38"/>
      <c r="M484" s="39"/>
    </row>
    <row r="485" spans="1:94" x14ac:dyDescent="0.25">
      <c r="B485" s="529" t="str">
        <f>'III. Datos Entrada-BE'!$B$36</f>
        <v>mayo</v>
      </c>
      <c r="C485" s="667">
        <f>'III. Datos Entrada-BE'!$E$36</f>
        <v>31</v>
      </c>
      <c r="D485" s="675">
        <f>MIN(0.95, MAX(0.104,EXP(15175*(('III. Datos Entrada-BE'!C36+273)-303.16)/(1.987*('III. Datos Entrada-BE'!C36+273)*303.16))))</f>
        <v>0.104</v>
      </c>
      <c r="E485" s="620">
        <f t="shared" si="57"/>
        <v>0.40500000000000003</v>
      </c>
      <c r="F485" s="675">
        <f>(E485*'III. Datos Entrada-BE'!L83*'III. Datos Entrada-BE'!$L$192*C485*0.8)+G485</f>
        <v>0</v>
      </c>
      <c r="G485" s="670">
        <f>IF('III. Datos Entrada-BE'!$E$165=B484,0,IF('III. Datos Entrada-BE'!$F$165=B484,0,IF('III. Datos Entrada-BE'!$G$165=B484,0,IF('III. Datos Entrada-BE'!$C$165="Sí",0,(F484-H484)))))</f>
        <v>0</v>
      </c>
      <c r="H485" s="668">
        <f t="shared" si="59"/>
        <v>0</v>
      </c>
      <c r="I485" s="668">
        <f>IF('III. Datos Entrada-BE'!D36=0,0,H485*'III. Datos Entrada-BE'!$C$129*0.717*0.001)*('III. Datos Entrada-BE'!G36/'III. Datos Entrada-BE'!E36)</f>
        <v>0</v>
      </c>
      <c r="J485" s="676">
        <f t="shared" si="58"/>
        <v>0</v>
      </c>
    </row>
    <row r="486" spans="1:94" x14ac:dyDescent="0.25">
      <c r="B486" s="529" t="str">
        <f>'III. Datos Entrada-BE'!$B$37</f>
        <v>junio</v>
      </c>
      <c r="C486" s="667">
        <f>'III. Datos Entrada-BE'!$E$37</f>
        <v>30</v>
      </c>
      <c r="D486" s="675">
        <f>MIN(0.95, MAX(0.104,EXP(15175*(('III. Datos Entrada-BE'!C37+273)-303.16)/(1.987*('III. Datos Entrada-BE'!C37+273)*303.16))))</f>
        <v>0.104</v>
      </c>
      <c r="E486" s="620">
        <f t="shared" si="57"/>
        <v>0.40500000000000003</v>
      </c>
      <c r="F486" s="675">
        <f>(E486*'III. Datos Entrada-BE'!L84*'III. Datos Entrada-BE'!$L$192*C486*0.8)+G486</f>
        <v>0</v>
      </c>
      <c r="G486" s="670">
        <f>IF('III. Datos Entrada-BE'!$E$165=B485,0,IF('III. Datos Entrada-BE'!$F$165=B485,0,IF('III. Datos Entrada-BE'!$G$165=B485,0,IF('III. Datos Entrada-BE'!$C$165="Sí",0,(F485-H485)))))</f>
        <v>0</v>
      </c>
      <c r="H486" s="668">
        <f t="shared" si="59"/>
        <v>0</v>
      </c>
      <c r="I486" s="668">
        <f>IF('III. Datos Entrada-BE'!D37=0,0,H486*'III. Datos Entrada-BE'!$C$129*0.717*0.001)*('III. Datos Entrada-BE'!G37/'III. Datos Entrada-BE'!E37)</f>
        <v>0</v>
      </c>
      <c r="J486" s="676">
        <f t="shared" si="58"/>
        <v>0</v>
      </c>
    </row>
    <row r="487" spans="1:94" x14ac:dyDescent="0.25">
      <c r="B487" s="529" t="str">
        <f>'III. Datos Entrada-BE'!$B$38</f>
        <v>julio</v>
      </c>
      <c r="C487" s="667">
        <f>'III. Datos Entrada-BE'!$E$38</f>
        <v>31</v>
      </c>
      <c r="D487" s="675">
        <f>MIN(0.95, MAX(0.104,EXP(15175*(('III. Datos Entrada-BE'!C38+273)-303.16)/(1.987*('III. Datos Entrada-BE'!C38+273)*303.16))))</f>
        <v>0.104</v>
      </c>
      <c r="E487" s="620">
        <f t="shared" si="57"/>
        <v>0.40500000000000003</v>
      </c>
      <c r="F487" s="675">
        <f>(E487*'III. Datos Entrada-BE'!L85*'III. Datos Entrada-BE'!$L$192*C487*0.8)+G487</f>
        <v>0</v>
      </c>
      <c r="G487" s="670">
        <f>IF('III. Datos Entrada-BE'!$E$165=B486,0,IF('III. Datos Entrada-BE'!$F$165=B486,0,IF('III. Datos Entrada-BE'!$G$165=B486,0,IF('III. Datos Entrada-BE'!$C$165="Sí",0,(F486-H486)))))</f>
        <v>0</v>
      </c>
      <c r="H487" s="668">
        <f t="shared" si="59"/>
        <v>0</v>
      </c>
      <c r="I487" s="668">
        <f>IF('III. Datos Entrada-BE'!D38=0,0,H487*'III. Datos Entrada-BE'!$C$129*0.717*0.001)*('III. Datos Entrada-BE'!G38/'III. Datos Entrada-BE'!E38)</f>
        <v>0</v>
      </c>
      <c r="J487" s="676">
        <f t="shared" si="58"/>
        <v>0</v>
      </c>
    </row>
    <row r="488" spans="1:94" x14ac:dyDescent="0.25">
      <c r="B488" s="529" t="str">
        <f>'III. Datos Entrada-BE'!$B$39</f>
        <v>agosto</v>
      </c>
      <c r="C488" s="667">
        <f>'III. Datos Entrada-BE'!$E$39</f>
        <v>31</v>
      </c>
      <c r="D488" s="675">
        <f>MIN(0.95, MAX(0.104,EXP(15175*(('III. Datos Entrada-BE'!C39+273)-303.16)/(1.987*('III. Datos Entrada-BE'!C39+273)*303.16))))</f>
        <v>0.104</v>
      </c>
      <c r="E488" s="620">
        <f t="shared" si="57"/>
        <v>0.40500000000000003</v>
      </c>
      <c r="F488" s="675">
        <f>(E488*'III. Datos Entrada-BE'!L86*'III. Datos Entrada-BE'!$L$192*C488*0.8)+G488</f>
        <v>0</v>
      </c>
      <c r="G488" s="670">
        <f>IF('III. Datos Entrada-BE'!$E$165=B487,0,IF('III. Datos Entrada-BE'!$F$165=B487,0,IF('III. Datos Entrada-BE'!$G$165=B487,0,IF('III. Datos Entrada-BE'!$C$165="Sí",0,(F487-H487)))))</f>
        <v>0</v>
      </c>
      <c r="H488" s="668">
        <f t="shared" si="59"/>
        <v>0</v>
      </c>
      <c r="I488" s="668">
        <f>IF('III. Datos Entrada-BE'!D39=0,0,H488*'III. Datos Entrada-BE'!$C$129*0.717*0.001)*('III. Datos Entrada-BE'!G39/'III. Datos Entrada-BE'!E39)</f>
        <v>0</v>
      </c>
      <c r="J488" s="676">
        <f t="shared" si="58"/>
        <v>0</v>
      </c>
    </row>
    <row r="489" spans="1:94" x14ac:dyDescent="0.25">
      <c r="B489" s="529" t="str">
        <f>'III. Datos Entrada-BE'!$B$40</f>
        <v>septiembre</v>
      </c>
      <c r="C489" s="667">
        <f>'III. Datos Entrada-BE'!$E$40</f>
        <v>30</v>
      </c>
      <c r="D489" s="675">
        <f>MIN(0.95, MAX(0.104,EXP(15175*(('III. Datos Entrada-BE'!C40+273)-303.16)/(1.987*('III. Datos Entrada-BE'!C40+273)*303.16))))</f>
        <v>0.104</v>
      </c>
      <c r="E489" s="620">
        <f t="shared" si="57"/>
        <v>0.40500000000000003</v>
      </c>
      <c r="F489" s="675">
        <f>(E489*'III. Datos Entrada-BE'!L87*'III. Datos Entrada-BE'!$L$192*C489*0.8)+G489</f>
        <v>0</v>
      </c>
      <c r="G489" s="670">
        <f>IF('III. Datos Entrada-BE'!$E$165=B488,0,IF('III. Datos Entrada-BE'!$F$165=B488,0,IF('III. Datos Entrada-BE'!$G$165=B488,0,IF('III. Datos Entrada-BE'!$C$165="Sí",0,(F488-H488)))))</f>
        <v>0</v>
      </c>
      <c r="H489" s="668">
        <f t="shared" si="59"/>
        <v>0</v>
      </c>
      <c r="I489" s="668">
        <f>IF('III. Datos Entrada-BE'!D40=0,0,H489*'III. Datos Entrada-BE'!$C$129*0.717*0.001)*('III. Datos Entrada-BE'!G40/'III. Datos Entrada-BE'!E40)</f>
        <v>0</v>
      </c>
      <c r="J489" s="676">
        <f t="shared" si="58"/>
        <v>0</v>
      </c>
    </row>
    <row r="490" spans="1:94" x14ac:dyDescent="0.25">
      <c r="B490" s="529" t="str">
        <f>'III. Datos Entrada-BE'!$B$41</f>
        <v>octubre</v>
      </c>
      <c r="C490" s="667">
        <f>'III. Datos Entrada-BE'!$E$41</f>
        <v>31</v>
      </c>
      <c r="D490" s="675">
        <f>MIN(0.95, MAX(0.104,EXP(15175*(('III. Datos Entrada-BE'!C41+273)-303.16)/(1.987*('III. Datos Entrada-BE'!C41+273)*303.16))))</f>
        <v>0.104</v>
      </c>
      <c r="E490" s="620">
        <f t="shared" si="57"/>
        <v>0.40500000000000003</v>
      </c>
      <c r="F490" s="675">
        <f>(E490*'III. Datos Entrada-BE'!L88*'III. Datos Entrada-BE'!$L$192*C490*0.8)+G490</f>
        <v>0</v>
      </c>
      <c r="G490" s="670">
        <f>IF('III. Datos Entrada-BE'!$E$165=B489,0,IF('III. Datos Entrada-BE'!$F$165=B489,0,IF('III. Datos Entrada-BE'!$G$165=B489,0,IF('III. Datos Entrada-BE'!$C$165="Sí",0,(F489-H489)))))</f>
        <v>0</v>
      </c>
      <c r="H490" s="668">
        <f t="shared" si="59"/>
        <v>0</v>
      </c>
      <c r="I490" s="668">
        <f>IF('III. Datos Entrada-BE'!D41=0,0,H490*'III. Datos Entrada-BE'!$C$129*0.717*0.001)*('III. Datos Entrada-BE'!G41/'III. Datos Entrada-BE'!E41)</f>
        <v>0</v>
      </c>
      <c r="J490" s="676">
        <f t="shared" si="58"/>
        <v>0</v>
      </c>
    </row>
    <row r="491" spans="1:94" x14ac:dyDescent="0.25">
      <c r="B491" s="529" t="str">
        <f>'III. Datos Entrada-BE'!$B$42</f>
        <v>noviembre</v>
      </c>
      <c r="C491" s="667">
        <f>'III. Datos Entrada-BE'!$E$42</f>
        <v>30</v>
      </c>
      <c r="D491" s="675">
        <f>MIN(0.95, MAX(0.104,EXP(15175*(('III. Datos Entrada-BE'!C42+273)-303.16)/(1.987*('III. Datos Entrada-BE'!C42+273)*303.16))))</f>
        <v>0.104</v>
      </c>
      <c r="E491" s="620">
        <f t="shared" si="57"/>
        <v>0.40500000000000003</v>
      </c>
      <c r="F491" s="675">
        <f>(E491*'III. Datos Entrada-BE'!L89*'III. Datos Entrada-BE'!$L$192*C491*0.8)+G491</f>
        <v>0</v>
      </c>
      <c r="G491" s="670">
        <f>IF('III. Datos Entrada-BE'!$E$165=B490,0,IF('III. Datos Entrada-BE'!$F$165=B490,0,IF('III. Datos Entrada-BE'!$G$165=B490,0,IF('III. Datos Entrada-BE'!$C$165="Sí",0,(F490-H490)))))</f>
        <v>0</v>
      </c>
      <c r="H491" s="668">
        <f t="shared" si="59"/>
        <v>0</v>
      </c>
      <c r="I491" s="668">
        <f>IF('III. Datos Entrada-BE'!D42=0,0,H491*'III. Datos Entrada-BE'!$C$129*0.717*0.001)*('III. Datos Entrada-BE'!G42/'III. Datos Entrada-BE'!E42)</f>
        <v>0</v>
      </c>
      <c r="J491" s="676">
        <f t="shared" si="58"/>
        <v>0</v>
      </c>
    </row>
    <row r="492" spans="1:94" ht="13" thickBot="1" x14ac:dyDescent="0.3">
      <c r="B492" s="553" t="str">
        <f>'III. Datos Entrada-BE'!$B$43</f>
        <v>diciembre</v>
      </c>
      <c r="C492" s="671">
        <f>'III. Datos Entrada-BE'!$E$43</f>
        <v>31</v>
      </c>
      <c r="D492" s="508">
        <f>MIN(0.95, MAX(0.104,EXP(15175*(('III. Datos Entrada-BE'!C43+273)-303.16)/(1.987*('III. Datos Entrada-BE'!C43+273)*303.16))))</f>
        <v>0.104</v>
      </c>
      <c r="E492" s="678">
        <f t="shared" si="57"/>
        <v>0.40500000000000003</v>
      </c>
      <c r="F492" s="677">
        <f>(E492*'III. Datos Entrada-BE'!L90*'III. Datos Entrada-BE'!$L$192*C492*0.8)+G492</f>
        <v>0</v>
      </c>
      <c r="G492" s="670">
        <f>IF('III. Datos Entrada-BE'!$E$165=B491,0,IF('III. Datos Entrada-BE'!$F$165=B491,0,IF('III. Datos Entrada-BE'!$G$165=B491,0,IF('III. Datos Entrada-BE'!$C$165="Sí",0,(F491-H491)))))</f>
        <v>0</v>
      </c>
      <c r="H492" s="575">
        <f t="shared" si="59"/>
        <v>0</v>
      </c>
      <c r="I492" s="575">
        <f>IF('III. Datos Entrada-BE'!D43=0,0,H492*'III. Datos Entrada-BE'!$C$129*0.717*0.001)*('III. Datos Entrada-BE'!G43/'III. Datos Entrada-BE'!E43)</f>
        <v>0</v>
      </c>
      <c r="J492" s="676">
        <f t="shared" si="58"/>
        <v>0</v>
      </c>
    </row>
    <row r="493" spans="1:94" ht="13.5" thickBot="1" x14ac:dyDescent="0.35">
      <c r="B493" s="27" t="s">
        <v>166</v>
      </c>
      <c r="C493" s="504"/>
      <c r="D493" s="505"/>
      <c r="E493" s="505"/>
      <c r="F493" s="506"/>
      <c r="G493" s="507"/>
      <c r="H493" s="906">
        <f>SUM(H481:H492)</f>
        <v>0</v>
      </c>
      <c r="I493" s="376">
        <f>SUM(I481:I492)</f>
        <v>0</v>
      </c>
      <c r="J493" s="54">
        <f>SUM(J481:J492)</f>
        <v>0</v>
      </c>
    </row>
    <row r="494" spans="1:94" ht="13.5" thickBot="1" x14ac:dyDescent="0.35">
      <c r="B494" s="9"/>
      <c r="C494" s="70"/>
      <c r="D494" s="12"/>
      <c r="E494" s="12"/>
      <c r="F494" s="8"/>
      <c r="G494" s="8"/>
      <c r="H494" s="12"/>
      <c r="I494" s="12"/>
      <c r="J494" s="8"/>
    </row>
    <row r="495" spans="1:94" s="49" customFormat="1" ht="30.5" customHeight="1" thickBot="1" x14ac:dyDescent="0.35">
      <c r="A495" s="2"/>
      <c r="B495" s="1232" t="s">
        <v>928</v>
      </c>
      <c r="C495" s="1233"/>
      <c r="D495" s="1233"/>
      <c r="E495" s="1233"/>
      <c r="F495" s="1234"/>
      <c r="G495" s="456">
        <f>IF('III. Datos Entrada-BE'!C$165="Sí",0,IF('III. Datos Entrada-BE'!E$165=B492,0,IF('III. Datos Entrada-BE'!F$165='V. BE CH4-AS'!B492,0,IF('III. Datos Entrada-BE'!G$165='V. BE CH4-AS'!B492,0,F492-H492))))</f>
        <v>0</v>
      </c>
      <c r="H495" s="12"/>
      <c r="I495" s="12"/>
      <c r="J495" s="8"/>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row>
    <row r="496" spans="1:94" ht="128" thickBot="1" x14ac:dyDescent="0.35">
      <c r="G496" s="46" t="s">
        <v>927</v>
      </c>
      <c r="H496" s="12"/>
      <c r="I496" s="12"/>
      <c r="J496" s="8"/>
    </row>
    <row r="497" spans="2:10" ht="13" thickBot="1" x14ac:dyDescent="0.3"/>
    <row r="498" spans="2:10" x14ac:dyDescent="0.25">
      <c r="E498" s="1083" t="s">
        <v>924</v>
      </c>
      <c r="F498" s="1109"/>
      <c r="G498" s="1109"/>
      <c r="H498" s="1109"/>
      <c r="I498" s="1109"/>
      <c r="J498" s="1110"/>
    </row>
    <row r="499" spans="2:10" ht="13" thickBot="1" x14ac:dyDescent="0.3">
      <c r="E499" s="1113"/>
      <c r="F499" s="1114"/>
      <c r="G499" s="1114"/>
      <c r="H499" s="1114"/>
      <c r="I499" s="1114"/>
      <c r="J499" s="1115"/>
    </row>
    <row r="502" spans="2:10" ht="17.5" x14ac:dyDescent="0.25">
      <c r="B502" s="75" t="s">
        <v>169</v>
      </c>
    </row>
    <row r="503" spans="2:10" ht="16" thickBot="1" x14ac:dyDescent="0.3">
      <c r="B503" s="75"/>
    </row>
    <row r="504" spans="2:10" ht="16" x14ac:dyDescent="0.4">
      <c r="B504" s="76" t="s">
        <v>170</v>
      </c>
      <c r="C504" s="422">
        <f>I493+I469+I445+I421+I397+I373+I350+I326+I300+I276+I252+I227+I204+I180+I156+I132+I108+I83+I59+I35</f>
        <v>0</v>
      </c>
      <c r="D504" s="8" t="s">
        <v>171</v>
      </c>
      <c r="E504" s="2"/>
      <c r="F504" s="2"/>
      <c r="G504" s="2"/>
    </row>
    <row r="505" spans="2:10" ht="16.5" thickBot="1" x14ac:dyDescent="0.45">
      <c r="B505" s="77" t="s">
        <v>172</v>
      </c>
      <c r="C505" s="423">
        <f>J493+J469+J445+J421+J397+J373+J350+J326+J300+J276+J252+J227+J204+J180+J156+J132+J108+J83+J59+J35</f>
        <v>0</v>
      </c>
      <c r="D505" s="78" t="s">
        <v>173</v>
      </c>
      <c r="E505" s="2"/>
      <c r="F505" s="2"/>
      <c r="G505" s="2"/>
    </row>
    <row r="506" spans="2:10" ht="13" thickBot="1" x14ac:dyDescent="0.3"/>
    <row r="507" spans="2:10" x14ac:dyDescent="0.25">
      <c r="B507" s="1108" t="s">
        <v>923</v>
      </c>
      <c r="C507" s="1109"/>
      <c r="D507" s="1109"/>
      <c r="E507" s="1109"/>
      <c r="F507" s="1109"/>
      <c r="G507" s="1109"/>
      <c r="H507" s="1109"/>
      <c r="I507" s="1109"/>
      <c r="J507" s="1110"/>
    </row>
    <row r="508" spans="2:10" x14ac:dyDescent="0.25">
      <c r="B508" s="1107"/>
      <c r="C508" s="1111"/>
      <c r="D508" s="1111"/>
      <c r="E508" s="1111"/>
      <c r="F508" s="1111"/>
      <c r="G508" s="1111"/>
      <c r="H508" s="1111"/>
      <c r="I508" s="1111"/>
      <c r="J508" s="1112"/>
    </row>
    <row r="509" spans="2:10" x14ac:dyDescent="0.25">
      <c r="B509" s="1107"/>
      <c r="C509" s="1111"/>
      <c r="D509" s="1111"/>
      <c r="E509" s="1111"/>
      <c r="F509" s="1111"/>
      <c r="G509" s="1111"/>
      <c r="H509" s="1111"/>
      <c r="I509" s="1111"/>
      <c r="J509" s="1112"/>
    </row>
    <row r="510" spans="2:10" x14ac:dyDescent="0.25">
      <c r="B510" s="1107"/>
      <c r="C510" s="1111"/>
      <c r="D510" s="1111"/>
      <c r="E510" s="1111"/>
      <c r="F510" s="1111"/>
      <c r="G510" s="1111"/>
      <c r="H510" s="1111"/>
      <c r="I510" s="1111"/>
      <c r="J510" s="1112"/>
    </row>
    <row r="511" spans="2:10" x14ac:dyDescent="0.25">
      <c r="B511" s="1107"/>
      <c r="C511" s="1111"/>
      <c r="D511" s="1111"/>
      <c r="E511" s="1111"/>
      <c r="F511" s="1111"/>
      <c r="G511" s="1111"/>
      <c r="H511" s="1111"/>
      <c r="I511" s="1111"/>
      <c r="J511" s="1112"/>
    </row>
    <row r="512" spans="2:10" x14ac:dyDescent="0.25">
      <c r="B512" s="1107"/>
      <c r="C512" s="1111"/>
      <c r="D512" s="1111"/>
      <c r="E512" s="1111"/>
      <c r="F512" s="1111"/>
      <c r="G512" s="1111"/>
      <c r="H512" s="1111"/>
      <c r="I512" s="1111"/>
      <c r="J512" s="1112"/>
    </row>
    <row r="513" spans="2:10" ht="13" thickBot="1" x14ac:dyDescent="0.3">
      <c r="B513" s="1113"/>
      <c r="C513" s="1114"/>
      <c r="D513" s="1114"/>
      <c r="E513" s="1114"/>
      <c r="F513" s="1114"/>
      <c r="G513" s="1114"/>
      <c r="H513" s="1114"/>
      <c r="I513" s="1114"/>
      <c r="J513" s="1115"/>
    </row>
  </sheetData>
  <sheetProtection algorithmName="SHA-512" hashValue="RyrFjRSpxd0+FYd0X9fGMS9aqMBXSiKVnEbAC6xf4kzUtRjNqaW7aRIfQ/m4UrdNgfBcEiFLI3aWRQ28W0uCkg==" saltValue="J670EP19F3VSwiWozioKcw==" spinCount="100000" sheet="1" objects="1" scenarios="1"/>
  <mergeCells count="49">
    <mergeCell ref="C4:G4"/>
    <mergeCell ref="C8:N8"/>
    <mergeCell ref="C7:N7"/>
    <mergeCell ref="C6:N6"/>
    <mergeCell ref="C5:N5"/>
    <mergeCell ref="B507:J513"/>
    <mergeCell ref="E306:J308"/>
    <mergeCell ref="E332:J334"/>
    <mergeCell ref="E355:J357"/>
    <mergeCell ref="E378:J380"/>
    <mergeCell ref="E402:J404"/>
    <mergeCell ref="E427:J429"/>
    <mergeCell ref="B495:F495"/>
    <mergeCell ref="B471:F471"/>
    <mergeCell ref="B447:F447"/>
    <mergeCell ref="B423:F423"/>
    <mergeCell ref="B399:F399"/>
    <mergeCell ref="B375:F375"/>
    <mergeCell ref="B352:F352"/>
    <mergeCell ref="E498:J499"/>
    <mergeCell ref="B328:F328"/>
    <mergeCell ref="C9:N9"/>
    <mergeCell ref="C10:N10"/>
    <mergeCell ref="E451:J453"/>
    <mergeCell ref="E475:J477"/>
    <mergeCell ref="B61:F61"/>
    <mergeCell ref="B37:F37"/>
    <mergeCell ref="B182:F182"/>
    <mergeCell ref="B158:F158"/>
    <mergeCell ref="B134:F134"/>
    <mergeCell ref="B110:F110"/>
    <mergeCell ref="B85:F85"/>
    <mergeCell ref="B302:F302"/>
    <mergeCell ref="B278:F278"/>
    <mergeCell ref="B254:F254"/>
    <mergeCell ref="B229:F229"/>
    <mergeCell ref="B206:F206"/>
    <mergeCell ref="E282:J284"/>
    <mergeCell ref="B17:J17"/>
    <mergeCell ref="E40:J42"/>
    <mergeCell ref="E64:J66"/>
    <mergeCell ref="E89:J91"/>
    <mergeCell ref="E114:J116"/>
    <mergeCell ref="E138:J140"/>
    <mergeCell ref="E162:J164"/>
    <mergeCell ref="E186:J188"/>
    <mergeCell ref="E210:J212"/>
    <mergeCell ref="E233:J235"/>
    <mergeCell ref="E258:J260"/>
  </mergeCells>
  <dataValidations xWindow="676" yWindow="527" count="1">
    <dataValidation allowBlank="1" showInputMessage="1" showErrorMessage="1" prompt="Si este es el primer año del proyeto ingrese cero, de lo contrario, ingrese el total de sólidos del mes de diciembre del año anterior._x000a_If this is the first year of the project, ente zero, otherwise enter the total solids for December of the previous year" sqref="G481 G47 G23 G71 G96 G120 G144 G168 G192 G215 G240 G264 G288 G314 G338 G361 G385 G409 G433 G457" xr:uid="{00000000-0002-0000-0400-000000000000}"/>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83"/>
  <sheetViews>
    <sheetView showGridLines="0" zoomScale="80" zoomScaleNormal="80" workbookViewId="0">
      <selection activeCell="H20" sqref="H20"/>
    </sheetView>
  </sheetViews>
  <sheetFormatPr defaultColWidth="8.83203125" defaultRowHeight="13" x14ac:dyDescent="0.3"/>
  <cols>
    <col min="1" max="1" width="3.83203125" style="2" customWidth="1"/>
    <col min="2" max="2" width="25" style="22" customWidth="1"/>
    <col min="3" max="3" width="14.58203125" style="2" customWidth="1"/>
    <col min="4" max="4" width="17.5" style="2" customWidth="1"/>
    <col min="5" max="5" width="21.5" style="2" bestFit="1" customWidth="1"/>
    <col min="6" max="6" width="11.5" style="2" bestFit="1" customWidth="1"/>
    <col min="7" max="7" width="19.08203125" style="2" bestFit="1" customWidth="1"/>
    <col min="8" max="8" width="17.33203125" style="2" bestFit="1" customWidth="1"/>
    <col min="9" max="9" width="19.58203125" style="3" bestFit="1" customWidth="1"/>
    <col min="10" max="10" width="24.58203125" style="3" bestFit="1" customWidth="1"/>
    <col min="11" max="11" width="20.5" style="2" bestFit="1" customWidth="1"/>
    <col min="12" max="16384" width="8.83203125" style="2"/>
  </cols>
  <sheetData>
    <row r="1" spans="2:14" ht="14.25" customHeight="1" x14ac:dyDescent="0.3">
      <c r="B1" s="1"/>
    </row>
    <row r="2" spans="2:14" ht="18" x14ac:dyDescent="0.4">
      <c r="B2" s="216" t="s">
        <v>174</v>
      </c>
    </row>
    <row r="4" spans="2:14" x14ac:dyDescent="0.3">
      <c r="B4" s="9" t="s">
        <v>799</v>
      </c>
      <c r="C4" s="11"/>
      <c r="D4" s="18"/>
      <c r="E4" s="22"/>
      <c r="F4" s="10"/>
      <c r="G4" s="10"/>
      <c r="H4" s="10"/>
      <c r="I4" s="14"/>
    </row>
    <row r="5" spans="2:14" x14ac:dyDescent="0.3">
      <c r="B5" s="577" t="s">
        <v>370</v>
      </c>
      <c r="C5" s="578" t="s">
        <v>930</v>
      </c>
      <c r="D5" s="217"/>
      <c r="E5" s="911"/>
      <c r="F5" s="912"/>
      <c r="G5" s="96"/>
      <c r="H5" s="5"/>
      <c r="I5" s="5"/>
      <c r="J5" s="5"/>
    </row>
    <row r="6" spans="2:14" x14ac:dyDescent="0.3">
      <c r="B6" s="579" t="s">
        <v>371</v>
      </c>
      <c r="C6" s="511" t="s">
        <v>931</v>
      </c>
      <c r="D6" s="218"/>
      <c r="E6" s="909"/>
      <c r="F6" s="913"/>
      <c r="G6" s="5"/>
      <c r="H6" s="5"/>
      <c r="I6" s="5"/>
      <c r="J6" s="5"/>
    </row>
    <row r="7" spans="2:14" x14ac:dyDescent="0.3">
      <c r="B7" s="910" t="s">
        <v>801</v>
      </c>
      <c r="C7" s="517" t="s">
        <v>932</v>
      </c>
      <c r="D7" s="219"/>
      <c r="E7" s="914"/>
      <c r="F7" s="915"/>
      <c r="G7" s="5"/>
      <c r="H7" s="5"/>
      <c r="I7" s="5"/>
      <c r="J7" s="5"/>
    </row>
    <row r="8" spans="2:14" x14ac:dyDescent="0.3">
      <c r="C8" s="11"/>
      <c r="D8" s="18"/>
      <c r="E8" s="22"/>
      <c r="F8" s="10"/>
      <c r="G8" s="5"/>
      <c r="H8" s="5"/>
      <c r="I8" s="5"/>
      <c r="J8" s="5"/>
    </row>
    <row r="9" spans="2:14" x14ac:dyDescent="0.3">
      <c r="B9" s="13"/>
      <c r="E9" s="9"/>
      <c r="G9" s="5"/>
      <c r="H9" s="5"/>
      <c r="I9" s="5"/>
      <c r="J9" s="5"/>
    </row>
    <row r="10" spans="2:14" x14ac:dyDescent="0.3">
      <c r="B10" s="107"/>
      <c r="E10" s="9"/>
      <c r="G10" s="5"/>
      <c r="H10" s="5"/>
      <c r="I10" s="5"/>
      <c r="J10" s="5"/>
    </row>
    <row r="11" spans="2:14" x14ac:dyDescent="0.3">
      <c r="B11" s="220"/>
      <c r="G11" s="5"/>
      <c r="H11" s="5"/>
      <c r="I11" s="5"/>
      <c r="J11" s="5"/>
    </row>
    <row r="12" spans="2:14" ht="15.5" x14ac:dyDescent="0.35">
      <c r="B12" s="17" t="s">
        <v>176</v>
      </c>
      <c r="C12" s="11"/>
      <c r="D12" s="11"/>
      <c r="E12" s="11"/>
      <c r="F12" s="11"/>
      <c r="G12" s="11"/>
      <c r="H12" s="11"/>
      <c r="I12" s="80"/>
      <c r="J12" s="80"/>
    </row>
    <row r="13" spans="2:14" ht="15.5" x14ac:dyDescent="0.35">
      <c r="B13" s="904" t="s">
        <v>933</v>
      </c>
      <c r="C13" s="11"/>
      <c r="D13" s="11"/>
      <c r="E13" s="11"/>
      <c r="F13" s="11"/>
      <c r="G13" s="11"/>
      <c r="H13" s="11"/>
      <c r="I13" s="80"/>
      <c r="J13" s="80"/>
    </row>
    <row r="14" spans="2:14" ht="12.5" customHeight="1" x14ac:dyDescent="0.25">
      <c r="B14" s="1096" t="s">
        <v>177</v>
      </c>
      <c r="C14" s="1096"/>
      <c r="D14" s="1096"/>
      <c r="E14" s="1096"/>
      <c r="F14" s="1096"/>
      <c r="G14" s="1096"/>
      <c r="H14" s="1096"/>
      <c r="I14" s="1096"/>
      <c r="J14" s="1096"/>
      <c r="N14" s="18"/>
    </row>
    <row r="15" spans="2:14" ht="12.5" customHeight="1" x14ac:dyDescent="0.3">
      <c r="B15" s="1135" t="s">
        <v>934</v>
      </c>
      <c r="C15" s="1135"/>
      <c r="D15" s="1135"/>
      <c r="E15" s="1135"/>
      <c r="F15" s="1135"/>
      <c r="G15" s="1135"/>
      <c r="H15" s="1135"/>
      <c r="I15" s="222"/>
      <c r="J15" s="222"/>
      <c r="N15" s="18"/>
    </row>
    <row r="16" spans="2:14" ht="19.5" customHeight="1" thickBot="1" x14ac:dyDescent="0.35">
      <c r="B16" s="221"/>
      <c r="C16" s="222"/>
      <c r="D16" s="222"/>
      <c r="E16" s="222"/>
      <c r="F16" s="222"/>
      <c r="G16" s="222"/>
      <c r="H16" s="222"/>
      <c r="I16" s="223"/>
      <c r="J16" s="223"/>
      <c r="N16" s="18"/>
    </row>
    <row r="17" spans="2:10" ht="13.5" thickBot="1" x14ac:dyDescent="0.35">
      <c r="B17" s="371">
        <f>'III. Datos Entrada-BE'!C136</f>
        <v>0</v>
      </c>
      <c r="H17" s="3"/>
      <c r="J17" s="2"/>
    </row>
    <row r="18" spans="2:10" s="22" customFormat="1" ht="27.5" thickBot="1" x14ac:dyDescent="0.45">
      <c r="B18" s="247" t="s">
        <v>935</v>
      </c>
      <c r="C18" s="246" t="s">
        <v>178</v>
      </c>
      <c r="D18" s="246" t="s">
        <v>179</v>
      </c>
      <c r="E18" s="246" t="s">
        <v>180</v>
      </c>
      <c r="F18" s="246" t="s">
        <v>181</v>
      </c>
      <c r="G18" s="246" t="s">
        <v>182</v>
      </c>
      <c r="H18" s="28" t="s">
        <v>183</v>
      </c>
      <c r="I18" s="83" t="s">
        <v>184</v>
      </c>
    </row>
    <row r="19" spans="2:10" ht="52.5" thickBot="1" x14ac:dyDescent="0.35">
      <c r="B19" s="338" t="str">
        <f>'III. Datos Entrada-BE'!B120</f>
        <v>Vacas lecheras y no lecheras (en sistemas intensivos) 
Dairy and non-milking dairy cows (in intensive systems)</v>
      </c>
      <c r="C19" s="224">
        <f>'III. Datos Entrada-BE'!$C$91</f>
        <v>0</v>
      </c>
      <c r="D19" s="224">
        <f>'III. Datos Entrada-BE'!C195</f>
        <v>0</v>
      </c>
      <c r="E19" s="225">
        <f>'V. BE CH4-AS'!$C$20</f>
        <v>3.91</v>
      </c>
      <c r="F19" s="224">
        <f>'III. Datos Entrada-BE'!$C$173</f>
        <v>0</v>
      </c>
      <c r="G19" s="224">
        <f>'III. Datos Entrada-BE'!$C$120</f>
        <v>0.13</v>
      </c>
      <c r="H19" s="50">
        <f>C19*D19*E19*'III. Datos Entrada-BE'!$G$44*F19*G19*0.717*0.001</f>
        <v>0</v>
      </c>
      <c r="I19" s="52">
        <f t="shared" ref="I19:I28" si="0">H19*PCG</f>
        <v>0</v>
      </c>
      <c r="J19" s="2"/>
    </row>
    <row r="20" spans="2:10" ht="52.5" thickBot="1" x14ac:dyDescent="0.35">
      <c r="B20" s="580" t="str">
        <f>'III. Datos Entrada-BE'!B121</f>
        <v>Novillos/Novillos (en sistemas intensivos) 
Heifers/Steers (in intensive systems)</v>
      </c>
      <c r="C20" s="682">
        <f>'III. Datos Entrada-BE'!$D$91</f>
        <v>0</v>
      </c>
      <c r="D20" s="226">
        <f>'III. Datos Entrada-BE'!D195</f>
        <v>0</v>
      </c>
      <c r="E20" s="683">
        <f>'V. BE CH4-AS'!$C$68</f>
        <v>2.86</v>
      </c>
      <c r="F20" s="226">
        <f>'III. Datos Entrada-BE'!$C$173</f>
        <v>0</v>
      </c>
      <c r="G20" s="226">
        <f>'III. Datos Entrada-BE'!$C$121</f>
        <v>0.17</v>
      </c>
      <c r="H20" s="64">
        <f>C20*D20*E20*'III. Datos Entrada-BE'!$G$44*F20*G20*0.717*0.001</f>
        <v>0</v>
      </c>
      <c r="I20" s="52">
        <f t="shared" si="0"/>
        <v>0</v>
      </c>
      <c r="J20" s="2"/>
    </row>
    <row r="21" spans="2:10" ht="65.5" thickBot="1" x14ac:dyDescent="0.35">
      <c r="B21" s="580" t="str">
        <f>'III. Datos Entrada-BE'!B122</f>
        <v>Novillas de reemplazo/crecimiento (en pastos o pastizales) 
Replacement/growing heifers (in pasture or rangeland)</v>
      </c>
      <c r="C21" s="682">
        <f>'III. Datos Entrada-BE'!$E$91</f>
        <v>0</v>
      </c>
      <c r="D21" s="226">
        <f>'III. Datos Entrada-BE'!E195</f>
        <v>0</v>
      </c>
      <c r="E21" s="683">
        <f>'III. Datos Entrada-BE'!$D$106</f>
        <v>2.4900000000000002</v>
      </c>
      <c r="F21" s="226">
        <f>'III. Datos Entrada-BE'!$C$173</f>
        <v>0</v>
      </c>
      <c r="G21" s="226">
        <f>'III. Datos Entrada-BE'!$C$122</f>
        <v>0.13</v>
      </c>
      <c r="H21" s="64">
        <f>C21*D21*E21*'III. Datos Entrada-BE'!$G$44*F21*G21*0.717*0.001</f>
        <v>0</v>
      </c>
      <c r="I21" s="52">
        <f t="shared" si="0"/>
        <v>0</v>
      </c>
      <c r="J21" s="2"/>
    </row>
    <row r="22" spans="2:10" ht="26.5" thickBot="1" x14ac:dyDescent="0.35">
      <c r="B22" s="580" t="str">
        <f>'III. Datos Entrada-BE'!B123</f>
        <v>Toros (pastoreo) 
Bulls (grazing)</v>
      </c>
      <c r="C22" s="682">
        <f>'III. Datos Entrada-BE'!$F$91</f>
        <v>0</v>
      </c>
      <c r="D22" s="226">
        <f>'III. Datos Entrada-BE'!F195</f>
        <v>0</v>
      </c>
      <c r="E22" s="683">
        <f>'III. Datos Entrada-BE'!$D$107</f>
        <v>3.87</v>
      </c>
      <c r="F22" s="226">
        <f>'III. Datos Entrada-BE'!$C$173</f>
        <v>0</v>
      </c>
      <c r="G22" s="226">
        <f>'III. Datos Entrada-BE'!$C$123</f>
        <v>0.13</v>
      </c>
      <c r="H22" s="64">
        <f>C22*D22*E22*'III. Datos Entrada-BE'!$G$44*F22*G22*0.717*0.001</f>
        <v>0</v>
      </c>
      <c r="I22" s="52">
        <f t="shared" si="0"/>
        <v>0</v>
      </c>
      <c r="J22" s="2"/>
    </row>
    <row r="23" spans="2:10" ht="52.5" thickBot="1" x14ac:dyDescent="0.35">
      <c r="B23" s="580" t="str">
        <f>'III. Datos Entrada-BE'!B124</f>
        <v>Terneros (en forraje, en pastos/pastizales) 
Calves (on forage, in pasture/rangeland)</v>
      </c>
      <c r="C23" s="682">
        <f>'III. Datos Entrada-BE'!$G$91</f>
        <v>0</v>
      </c>
      <c r="D23" s="226">
        <f>'III. Datos Entrada-BE'!G195</f>
        <v>0</v>
      </c>
      <c r="E23" s="683">
        <f>'III. Datos Entrada-BE'!$D$108</f>
        <v>1.25</v>
      </c>
      <c r="F23" s="226">
        <f>'III. Datos Entrada-BE'!$C$173</f>
        <v>0</v>
      </c>
      <c r="G23" s="226">
        <f>'III. Datos Entrada-BE'!$C$124</f>
        <v>0.13</v>
      </c>
      <c r="H23" s="64">
        <f>C23*D23*E23*'III. Datos Entrada-BE'!$G$44*F23*G23*0.717*0.001</f>
        <v>0</v>
      </c>
      <c r="I23" s="52">
        <f t="shared" si="0"/>
        <v>0</v>
      </c>
      <c r="J23" s="2"/>
    </row>
    <row r="24" spans="2:10" ht="52.5" thickBot="1" x14ac:dyDescent="0.35">
      <c r="B24" s="580" t="str">
        <f>'III. Datos Entrada-BE'!B125</f>
        <v>Terneros (en lechero, en pastos/pastizales) 
Calves (on milk, in pasture/rangeland)</v>
      </c>
      <c r="C24" s="682">
        <f>'III. Datos Entrada-BE'!$H$91</f>
        <v>0</v>
      </c>
      <c r="D24" s="226">
        <f>'III. Datos Entrada-BE'!H195</f>
        <v>0</v>
      </c>
      <c r="E24" s="683">
        <f>'III. Datos Entrada-BE'!$D$109</f>
        <v>0.52</v>
      </c>
      <c r="F24" s="226">
        <f>'III. Datos Entrada-BE'!$C$173</f>
        <v>0</v>
      </c>
      <c r="G24" s="226">
        <f>'III. Datos Entrada-BE'!$C$125</f>
        <v>0.13</v>
      </c>
      <c r="H24" s="64">
        <f>C24*D24*E24*'III. Datos Entrada-BE'!$G$44*F24*G24*0.717*0.001</f>
        <v>0</v>
      </c>
      <c r="I24" s="52">
        <f t="shared" si="0"/>
        <v>0</v>
      </c>
      <c r="J24" s="2"/>
    </row>
    <row r="25" spans="2:10" ht="52.5" thickBot="1" x14ac:dyDescent="0.35">
      <c r="B25" s="580" t="str">
        <f>'III. Datos Entrada-BE'!B126</f>
        <v>Novillas y novillos (en pastos/pastizales)
Heifers and Steers (in pasture/rangeland)</v>
      </c>
      <c r="C25" s="682">
        <f>'III. Datos Entrada-BE'!$I$91</f>
        <v>0</v>
      </c>
      <c r="D25" s="226">
        <f>'III. Datos Entrada-BE'!I195</f>
        <v>0</v>
      </c>
      <c r="E25" s="683">
        <f>'III. Datos Entrada-BE'!$D$110</f>
        <v>2.86</v>
      </c>
      <c r="F25" s="226">
        <f>'III. Datos Entrada-BE'!$C$173</f>
        <v>0</v>
      </c>
      <c r="G25" s="226">
        <f>'III. Datos Entrada-BE'!$C$126</f>
        <v>0.17</v>
      </c>
      <c r="H25" s="64">
        <f>C25*D25*E25*'III. Datos Entrada-BE'!$G$44*F25*G25*0.717*0.001</f>
        <v>0</v>
      </c>
      <c r="I25" s="52">
        <f t="shared" si="0"/>
        <v>0</v>
      </c>
      <c r="J25" s="2"/>
    </row>
    <row r="26" spans="2:10" ht="26.5" thickBot="1" x14ac:dyDescent="0.35">
      <c r="B26" s="580" t="str">
        <f>'III. Datos Entrada-BE'!B127</f>
        <v>Vacas (en pastos/pastizales) 
Cows (in pasture/rangeland)</v>
      </c>
      <c r="C26" s="682">
        <f>'III. Datos Entrada-BE'!$J$91</f>
        <v>0</v>
      </c>
      <c r="D26" s="226">
        <f>'III. Datos Entrada-BE'!J195</f>
        <v>0</v>
      </c>
      <c r="E26" s="683">
        <f>'III. Datos Entrada-BE'!$D$111</f>
        <v>3.55</v>
      </c>
      <c r="F26" s="226">
        <f>'III. Datos Entrada-BE'!$C$173</f>
        <v>0</v>
      </c>
      <c r="G26" s="226">
        <f>'III. Datos Entrada-BE'!$C$127</f>
        <v>0.188</v>
      </c>
      <c r="H26" s="64">
        <f>C26*D26*E26*'III. Datos Entrada-BE'!$G$44*F26*G26*0.717*0.001</f>
        <v>0</v>
      </c>
      <c r="I26" s="52">
        <f t="shared" si="0"/>
        <v>0</v>
      </c>
      <c r="J26" s="2"/>
    </row>
    <row r="27" spans="2:10" ht="26.5" thickBot="1" x14ac:dyDescent="0.35">
      <c r="B27" s="580" t="str">
        <f>'III. Datos Entrada-BE'!B128</f>
        <v>Cerdos de vivero 
Nursery swine</v>
      </c>
      <c r="C27" s="682">
        <f>'III. Datos Entrada-BE'!$K$91</f>
        <v>0</v>
      </c>
      <c r="D27" s="226">
        <f>'III. Datos Entrada-BE'!K195</f>
        <v>0</v>
      </c>
      <c r="E27" s="683">
        <f>'III. Datos Entrada-BE'!$D$112</f>
        <v>0.16600000000000001</v>
      </c>
      <c r="F27" s="226">
        <f>'III. Datos Entrada-BE'!$C$173</f>
        <v>0</v>
      </c>
      <c r="G27" s="226">
        <f>'III. Datos Entrada-BE'!$C$128</f>
        <v>0.28999999999999998</v>
      </c>
      <c r="H27" s="64">
        <f>C27*D27*E27*'III. Datos Entrada-BE'!$G$44*F27*G27*0.717*0.001</f>
        <v>0</v>
      </c>
      <c r="I27" s="52">
        <f t="shared" si="0"/>
        <v>0</v>
      </c>
      <c r="J27" s="2"/>
    </row>
    <row r="28" spans="2:10" ht="26.5" thickBot="1" x14ac:dyDescent="0.35">
      <c r="B28" s="581" t="str">
        <f>'III. Datos Entrada-BE'!B129</f>
        <v>Cerdos en crecimiento 
Growing swine</v>
      </c>
      <c r="C28" s="582">
        <f>'III. Datos Entrada-BE'!$L$91</f>
        <v>0</v>
      </c>
      <c r="D28" s="227">
        <f>'III. Datos Entrada-BE'!L195</f>
        <v>0</v>
      </c>
      <c r="E28" s="583">
        <f>'III. Datos Entrada-BE'!$D$113</f>
        <v>0.40500000000000003</v>
      </c>
      <c r="F28" s="227">
        <f>'III. Datos Entrada-BE'!$C$173</f>
        <v>0</v>
      </c>
      <c r="G28" s="227">
        <f>'III. Datos Entrada-BE'!$C$129</f>
        <v>0.28999999999999998</v>
      </c>
      <c r="H28" s="65">
        <f>C28*D28*E28*'III. Datos Entrada-BE'!$G$44*F28*G28*0.717*0.001</f>
        <v>0</v>
      </c>
      <c r="I28" s="52">
        <f t="shared" si="0"/>
        <v>0</v>
      </c>
      <c r="J28" s="2"/>
    </row>
    <row r="29" spans="2:10" ht="13.5" thickBot="1" x14ac:dyDescent="0.35">
      <c r="B29" s="372" t="s">
        <v>185</v>
      </c>
      <c r="C29" s="228"/>
      <c r="D29" s="228"/>
      <c r="E29" s="228"/>
      <c r="F29" s="228"/>
      <c r="G29" s="229"/>
      <c r="H29" s="66">
        <f>SUM(H19:H28)</f>
        <v>0</v>
      </c>
      <c r="I29" s="54">
        <f>SUM(I19:I28)</f>
        <v>0</v>
      </c>
      <c r="J29" s="2"/>
    </row>
    <row r="30" spans="2:10" ht="13.5" thickBot="1" x14ac:dyDescent="0.35">
      <c r="B30" s="26"/>
      <c r="H30" s="8"/>
      <c r="I30" s="8"/>
      <c r="J30" s="2"/>
    </row>
    <row r="31" spans="2:10" s="9" customFormat="1" ht="13.5" thickBot="1" x14ac:dyDescent="0.35">
      <c r="B31" s="371">
        <f>'III. Datos Entrada-BE'!C137</f>
        <v>0</v>
      </c>
      <c r="H31" s="8"/>
      <c r="I31" s="8"/>
    </row>
    <row r="32" spans="2:10" s="22" customFormat="1" ht="27.5" thickBot="1" x14ac:dyDescent="0.45">
      <c r="B32" s="247" t="s">
        <v>935</v>
      </c>
      <c r="C32" s="71" t="s">
        <v>178</v>
      </c>
      <c r="D32" s="71" t="s">
        <v>179</v>
      </c>
      <c r="E32" s="71" t="s">
        <v>180</v>
      </c>
      <c r="F32" s="71" t="s">
        <v>181</v>
      </c>
      <c r="G32" s="71" t="s">
        <v>182</v>
      </c>
      <c r="H32" s="61" t="s">
        <v>183</v>
      </c>
      <c r="I32" s="72" t="s">
        <v>184</v>
      </c>
    </row>
    <row r="33" spans="2:10" ht="52.5" thickBot="1" x14ac:dyDescent="0.35">
      <c r="B33" s="338" t="str">
        <f>'III. Datos Entrada-BE'!B120</f>
        <v>Vacas lecheras y no lecheras (en sistemas intensivos) 
Dairy and non-milking dairy cows (in intensive systems)</v>
      </c>
      <c r="C33" s="224">
        <f>'III. Datos Entrada-BE'!$C$91</f>
        <v>0</v>
      </c>
      <c r="D33" s="224">
        <f>'III. Datos Entrada-BE'!C196</f>
        <v>0</v>
      </c>
      <c r="E33" s="225">
        <f>'V. BE CH4-AS'!$C$20</f>
        <v>3.91</v>
      </c>
      <c r="F33" s="224">
        <f>'III. Datos Entrada-BE'!$C$174</f>
        <v>0</v>
      </c>
      <c r="G33" s="224">
        <f>'III. Datos Entrada-BE'!$C$120</f>
        <v>0.13</v>
      </c>
      <c r="H33" s="50">
        <f>C33*D33*E33*'III. Datos Entrada-BE'!$G$44*F33*G33*0.717*0.001</f>
        <v>0</v>
      </c>
      <c r="I33" s="52">
        <f t="shared" ref="I33:I42" si="1">H33*PCG</f>
        <v>0</v>
      </c>
      <c r="J33" s="2"/>
    </row>
    <row r="34" spans="2:10" ht="52.5" thickBot="1" x14ac:dyDescent="0.35">
      <c r="B34" s="580" t="str">
        <f>'III. Datos Entrada-BE'!B121</f>
        <v>Novillos/Novillos (en sistemas intensivos) 
Heifers/Steers (in intensive systems)</v>
      </c>
      <c r="C34" s="682">
        <f>'III. Datos Entrada-BE'!$D$91</f>
        <v>0</v>
      </c>
      <c r="D34" s="682">
        <f>'III. Datos Entrada-BE'!D196</f>
        <v>0</v>
      </c>
      <c r="E34" s="683">
        <f>'V. BE CH4-AS'!$C$68</f>
        <v>2.86</v>
      </c>
      <c r="F34" s="682">
        <f>'III. Datos Entrada-BE'!$C$174</f>
        <v>0</v>
      </c>
      <c r="G34" s="682">
        <f>'III. Datos Entrada-BE'!$C$121</f>
        <v>0.17</v>
      </c>
      <c r="H34" s="675">
        <f>C34*D34*E34*'III. Datos Entrada-BE'!$G$44*F34*G34*0.717*0.001</f>
        <v>0</v>
      </c>
      <c r="I34" s="52">
        <f t="shared" si="1"/>
        <v>0</v>
      </c>
      <c r="J34" s="2"/>
    </row>
    <row r="35" spans="2:10" ht="65.5" thickBot="1" x14ac:dyDescent="0.35">
      <c r="B35" s="580" t="str">
        <f>'III. Datos Entrada-BE'!B122</f>
        <v>Novillas de reemplazo/crecimiento (en pastos o pastizales) 
Replacement/growing heifers (in pasture or rangeland)</v>
      </c>
      <c r="C35" s="682">
        <f>'III. Datos Entrada-BE'!$E$91</f>
        <v>0</v>
      </c>
      <c r="D35" s="682">
        <f>'III. Datos Entrada-BE'!E196</f>
        <v>0</v>
      </c>
      <c r="E35" s="683">
        <f>'III. Datos Entrada-BE'!$D$106</f>
        <v>2.4900000000000002</v>
      </c>
      <c r="F35" s="682">
        <f>'III. Datos Entrada-BE'!$C$174</f>
        <v>0</v>
      </c>
      <c r="G35" s="682">
        <f>'III. Datos Entrada-BE'!$C$122</f>
        <v>0.13</v>
      </c>
      <c r="H35" s="675">
        <f>C35*D35*E35*'III. Datos Entrada-BE'!$G$44*F35*G35*0.717*0.001</f>
        <v>0</v>
      </c>
      <c r="I35" s="52">
        <f t="shared" si="1"/>
        <v>0</v>
      </c>
      <c r="J35" s="2"/>
    </row>
    <row r="36" spans="2:10" ht="26.5" thickBot="1" x14ac:dyDescent="0.35">
      <c r="B36" s="580" t="str">
        <f>'III. Datos Entrada-BE'!B123</f>
        <v>Toros (pastoreo) 
Bulls (grazing)</v>
      </c>
      <c r="C36" s="682">
        <f>'III. Datos Entrada-BE'!$F$91</f>
        <v>0</v>
      </c>
      <c r="D36" s="682">
        <f>'III. Datos Entrada-BE'!F196</f>
        <v>0</v>
      </c>
      <c r="E36" s="683">
        <f>'III. Datos Entrada-BE'!$D$107</f>
        <v>3.87</v>
      </c>
      <c r="F36" s="682">
        <f>'III. Datos Entrada-BE'!$C$174</f>
        <v>0</v>
      </c>
      <c r="G36" s="682">
        <f>'III. Datos Entrada-BE'!$C$123</f>
        <v>0.13</v>
      </c>
      <c r="H36" s="675">
        <f>C36*D36*E36*'III. Datos Entrada-BE'!$G$44*F36*G36*0.717*0.001</f>
        <v>0</v>
      </c>
      <c r="I36" s="52">
        <f t="shared" si="1"/>
        <v>0</v>
      </c>
      <c r="J36" s="2"/>
    </row>
    <row r="37" spans="2:10" ht="52.5" thickBot="1" x14ac:dyDescent="0.35">
      <c r="B37" s="580" t="str">
        <f>'III. Datos Entrada-BE'!B124</f>
        <v>Terneros (en forraje, en pastos/pastizales) 
Calves (on forage, in pasture/rangeland)</v>
      </c>
      <c r="C37" s="682">
        <f>'III. Datos Entrada-BE'!$G$91</f>
        <v>0</v>
      </c>
      <c r="D37" s="682">
        <f>'III. Datos Entrada-BE'!G196</f>
        <v>0</v>
      </c>
      <c r="E37" s="683">
        <f>'III. Datos Entrada-BE'!$D$108</f>
        <v>1.25</v>
      </c>
      <c r="F37" s="682">
        <f>'III. Datos Entrada-BE'!$C$174</f>
        <v>0</v>
      </c>
      <c r="G37" s="682">
        <f>'III. Datos Entrada-BE'!$C$124</f>
        <v>0.13</v>
      </c>
      <c r="H37" s="675">
        <f>C37*D37*E37*'III. Datos Entrada-BE'!$G$44*F37*G37*0.717*0.001</f>
        <v>0</v>
      </c>
      <c r="I37" s="52">
        <f t="shared" si="1"/>
        <v>0</v>
      </c>
      <c r="J37" s="2"/>
    </row>
    <row r="38" spans="2:10" ht="52.5" thickBot="1" x14ac:dyDescent="0.35">
      <c r="B38" s="580" t="str">
        <f>'III. Datos Entrada-BE'!B125</f>
        <v>Terneros (en lechero, en pastos/pastizales) 
Calves (on milk, in pasture/rangeland)</v>
      </c>
      <c r="C38" s="682">
        <f>'III. Datos Entrada-BE'!$H$91</f>
        <v>0</v>
      </c>
      <c r="D38" s="682">
        <f>'III. Datos Entrada-BE'!H196</f>
        <v>0</v>
      </c>
      <c r="E38" s="683">
        <f>'III. Datos Entrada-BE'!$D$109</f>
        <v>0.52</v>
      </c>
      <c r="F38" s="682">
        <f>'III. Datos Entrada-BE'!$C$174</f>
        <v>0</v>
      </c>
      <c r="G38" s="682">
        <f>'III. Datos Entrada-BE'!$C$125</f>
        <v>0.13</v>
      </c>
      <c r="H38" s="675">
        <f>C38*D38*E38*'III. Datos Entrada-BE'!$G$44*F38*G38*0.717*0.001</f>
        <v>0</v>
      </c>
      <c r="I38" s="52">
        <f t="shared" si="1"/>
        <v>0</v>
      </c>
      <c r="J38" s="2"/>
    </row>
    <row r="39" spans="2:10" ht="52.5" thickBot="1" x14ac:dyDescent="0.35">
      <c r="B39" s="580" t="str">
        <f>'III. Datos Entrada-BE'!B126</f>
        <v>Novillas y novillos (en pastos/pastizales)
Heifers and Steers (in pasture/rangeland)</v>
      </c>
      <c r="C39" s="682">
        <f>'III. Datos Entrada-BE'!$I$91</f>
        <v>0</v>
      </c>
      <c r="D39" s="682">
        <f>'III. Datos Entrada-BE'!I196</f>
        <v>0</v>
      </c>
      <c r="E39" s="683">
        <f>'III. Datos Entrada-BE'!$D$110</f>
        <v>2.86</v>
      </c>
      <c r="F39" s="682">
        <f>'III. Datos Entrada-BE'!$C$174</f>
        <v>0</v>
      </c>
      <c r="G39" s="682">
        <f>'III. Datos Entrada-BE'!$C$126</f>
        <v>0.17</v>
      </c>
      <c r="H39" s="675">
        <f>C39*D39*E39*'III. Datos Entrada-BE'!$G$44*F39*G39*0.717*0.001</f>
        <v>0</v>
      </c>
      <c r="I39" s="52">
        <f t="shared" si="1"/>
        <v>0</v>
      </c>
      <c r="J39" s="2"/>
    </row>
    <row r="40" spans="2:10" ht="26.5" thickBot="1" x14ac:dyDescent="0.35">
      <c r="B40" s="580" t="str">
        <f>'III. Datos Entrada-BE'!B127</f>
        <v>Vacas (en pastos/pastizales) 
Cows (in pasture/rangeland)</v>
      </c>
      <c r="C40" s="682">
        <f>'III. Datos Entrada-BE'!$J$91</f>
        <v>0</v>
      </c>
      <c r="D40" s="682">
        <f>'III. Datos Entrada-BE'!J196</f>
        <v>0</v>
      </c>
      <c r="E40" s="683">
        <f>'III. Datos Entrada-BE'!$D$111</f>
        <v>3.55</v>
      </c>
      <c r="F40" s="682">
        <f>'III. Datos Entrada-BE'!$C$174</f>
        <v>0</v>
      </c>
      <c r="G40" s="682">
        <f>'III. Datos Entrada-BE'!$C$127</f>
        <v>0.188</v>
      </c>
      <c r="H40" s="675">
        <f>C40*D40*E40*'III. Datos Entrada-BE'!$G$44*F40*G40*0.717*0.001</f>
        <v>0</v>
      </c>
      <c r="I40" s="52">
        <f t="shared" si="1"/>
        <v>0</v>
      </c>
      <c r="J40" s="2"/>
    </row>
    <row r="41" spans="2:10" ht="26.5" thickBot="1" x14ac:dyDescent="0.35">
      <c r="B41" s="580" t="str">
        <f>'III. Datos Entrada-BE'!B128</f>
        <v>Cerdos de vivero 
Nursery swine</v>
      </c>
      <c r="C41" s="682">
        <f>'III. Datos Entrada-BE'!$K$91</f>
        <v>0</v>
      </c>
      <c r="D41" s="682">
        <f>'III. Datos Entrada-BE'!K196</f>
        <v>0</v>
      </c>
      <c r="E41" s="683">
        <f>'III. Datos Entrada-BE'!$D$112</f>
        <v>0.16600000000000001</v>
      </c>
      <c r="F41" s="682">
        <f>'III. Datos Entrada-BE'!$C$174</f>
        <v>0</v>
      </c>
      <c r="G41" s="682">
        <f>'III. Datos Entrada-BE'!$C$128</f>
        <v>0.28999999999999998</v>
      </c>
      <c r="H41" s="675">
        <f>C41*D41*E41*'III. Datos Entrada-BE'!$G$44*F41*G41*0.717*0.001</f>
        <v>0</v>
      </c>
      <c r="I41" s="52">
        <f t="shared" si="1"/>
        <v>0</v>
      </c>
      <c r="J41" s="2"/>
    </row>
    <row r="42" spans="2:10" ht="26.5" thickBot="1" x14ac:dyDescent="0.35">
      <c r="B42" s="581" t="str">
        <f>'III. Datos Entrada-BE'!B129</f>
        <v>Cerdos en crecimiento 
Growing swine</v>
      </c>
      <c r="C42" s="582">
        <f>'III. Datos Entrada-BE'!$L$91</f>
        <v>0</v>
      </c>
      <c r="D42" s="582">
        <f>'III. Datos Entrada-BE'!L196</f>
        <v>0</v>
      </c>
      <c r="E42" s="583">
        <f>'III. Datos Entrada-BE'!$D$113</f>
        <v>0.40500000000000003</v>
      </c>
      <c r="F42" s="582">
        <f>'III. Datos Entrada-BE'!$C$174</f>
        <v>0</v>
      </c>
      <c r="G42" s="582">
        <f>'III. Datos Entrada-BE'!$C$129</f>
        <v>0.28999999999999998</v>
      </c>
      <c r="H42" s="576">
        <f>C42*D42*E42*'III. Datos Entrada-BE'!$G$44*F42*G42*0.717*0.001</f>
        <v>0</v>
      </c>
      <c r="I42" s="52">
        <f t="shared" si="1"/>
        <v>0</v>
      </c>
      <c r="J42" s="2"/>
    </row>
    <row r="43" spans="2:10" ht="13.5" thickBot="1" x14ac:dyDescent="0.35">
      <c r="B43" s="372" t="s">
        <v>185</v>
      </c>
      <c r="C43" s="228"/>
      <c r="D43" s="228"/>
      <c r="E43" s="228"/>
      <c r="F43" s="228"/>
      <c r="G43" s="229"/>
      <c r="H43" s="66">
        <f>SUM(H33:H42)</f>
        <v>0</v>
      </c>
      <c r="I43" s="54">
        <f>SUM(I33:I42)</f>
        <v>0</v>
      </c>
      <c r="J43" s="2"/>
    </row>
    <row r="44" spans="2:10" ht="13.5" thickBot="1" x14ac:dyDescent="0.35">
      <c r="B44" s="26"/>
      <c r="H44" s="8"/>
      <c r="I44" s="8"/>
      <c r="J44" s="2"/>
    </row>
    <row r="45" spans="2:10" ht="13.5" thickBot="1" x14ac:dyDescent="0.35">
      <c r="B45" s="371">
        <f>'III. Datos Entrada-BE'!C138</f>
        <v>0</v>
      </c>
      <c r="H45" s="3"/>
      <c r="J45" s="2"/>
    </row>
    <row r="46" spans="2:10" s="22" customFormat="1" ht="27.5" thickBot="1" x14ac:dyDescent="0.45">
      <c r="B46" s="247" t="s">
        <v>935</v>
      </c>
      <c r="C46" s="71" t="s">
        <v>178</v>
      </c>
      <c r="D46" s="71" t="s">
        <v>179</v>
      </c>
      <c r="E46" s="71" t="s">
        <v>186</v>
      </c>
      <c r="F46" s="71" t="s">
        <v>181</v>
      </c>
      <c r="G46" s="71" t="s">
        <v>182</v>
      </c>
      <c r="H46" s="61" t="s">
        <v>183</v>
      </c>
      <c r="I46" s="72" t="s">
        <v>184</v>
      </c>
    </row>
    <row r="47" spans="2:10" ht="52.5" thickBot="1" x14ac:dyDescent="0.35">
      <c r="B47" s="338" t="str">
        <f>'III. Datos Entrada-BE'!B120</f>
        <v>Vacas lecheras y no lecheras (en sistemas intensivos) 
Dairy and non-milking dairy cows (in intensive systems)</v>
      </c>
      <c r="C47" s="224">
        <f>'III. Datos Entrada-BE'!$C$91</f>
        <v>0</v>
      </c>
      <c r="D47" s="224">
        <f>'III. Datos Entrada-BE'!C197</f>
        <v>0</v>
      </c>
      <c r="E47" s="225">
        <f>'V. BE CH4-AS'!$C$20</f>
        <v>3.91</v>
      </c>
      <c r="F47" s="224">
        <f>'III. Datos Entrada-BE'!$C$175</f>
        <v>0</v>
      </c>
      <c r="G47" s="224">
        <f>'III. Datos Entrada-BE'!$C$120</f>
        <v>0.13</v>
      </c>
      <c r="H47" s="50">
        <f>C47*D47*E47*'III. Datos Entrada-BE'!$G$44*F47*G47*0.717*0.001</f>
        <v>0</v>
      </c>
      <c r="I47" s="52">
        <f t="shared" ref="I47:I56" si="2">H47*PCG</f>
        <v>0</v>
      </c>
      <c r="J47" s="2"/>
    </row>
    <row r="48" spans="2:10" ht="52.5" thickBot="1" x14ac:dyDescent="0.35">
      <c r="B48" s="580" t="str">
        <f>'III. Datos Entrada-BE'!B121</f>
        <v>Novillos/Novillos (en sistemas intensivos) 
Heifers/Steers (in intensive systems)</v>
      </c>
      <c r="C48" s="682">
        <f>'III. Datos Entrada-BE'!$D$91</f>
        <v>0</v>
      </c>
      <c r="D48" s="682">
        <f>'III. Datos Entrada-BE'!D197</f>
        <v>0</v>
      </c>
      <c r="E48" s="683">
        <f>'V. BE CH4-AS'!$C$68</f>
        <v>2.86</v>
      </c>
      <c r="F48" s="682">
        <f>'III. Datos Entrada-BE'!$C$175</f>
        <v>0</v>
      </c>
      <c r="G48" s="682">
        <f>'III. Datos Entrada-BE'!$C$121</f>
        <v>0.17</v>
      </c>
      <c r="H48" s="675">
        <f>C48*D48*E48*'III. Datos Entrada-BE'!$G$44*F48*G48*0.717*0.001</f>
        <v>0</v>
      </c>
      <c r="I48" s="52">
        <f t="shared" si="2"/>
        <v>0</v>
      </c>
      <c r="J48" s="2"/>
    </row>
    <row r="49" spans="2:10" ht="65.5" thickBot="1" x14ac:dyDescent="0.35">
      <c r="B49" s="580" t="str">
        <f>'III. Datos Entrada-BE'!B122</f>
        <v>Novillas de reemplazo/crecimiento (en pastos o pastizales) 
Replacement/growing heifers (in pasture or rangeland)</v>
      </c>
      <c r="C49" s="682">
        <f>'III. Datos Entrada-BE'!$E$91</f>
        <v>0</v>
      </c>
      <c r="D49" s="682">
        <f>'III. Datos Entrada-BE'!E197</f>
        <v>0</v>
      </c>
      <c r="E49" s="683">
        <f>'III. Datos Entrada-BE'!$D$106</f>
        <v>2.4900000000000002</v>
      </c>
      <c r="F49" s="682">
        <f>'III. Datos Entrada-BE'!$C$175</f>
        <v>0</v>
      </c>
      <c r="G49" s="682">
        <f>'III. Datos Entrada-BE'!$C$122</f>
        <v>0.13</v>
      </c>
      <c r="H49" s="675">
        <f>C49*D49*E49*'III. Datos Entrada-BE'!$G$44*F49*G49*0.717*0.001</f>
        <v>0</v>
      </c>
      <c r="I49" s="52">
        <f t="shared" si="2"/>
        <v>0</v>
      </c>
      <c r="J49" s="2"/>
    </row>
    <row r="50" spans="2:10" ht="26.5" thickBot="1" x14ac:dyDescent="0.35">
      <c r="B50" s="580" t="str">
        <f>'III. Datos Entrada-BE'!B123</f>
        <v>Toros (pastoreo) 
Bulls (grazing)</v>
      </c>
      <c r="C50" s="682">
        <f>'III. Datos Entrada-BE'!$F$91</f>
        <v>0</v>
      </c>
      <c r="D50" s="682">
        <f>'III. Datos Entrada-BE'!F197</f>
        <v>0</v>
      </c>
      <c r="E50" s="683">
        <f>'III. Datos Entrada-BE'!$D$107</f>
        <v>3.87</v>
      </c>
      <c r="F50" s="682">
        <f>'III. Datos Entrada-BE'!$C$175</f>
        <v>0</v>
      </c>
      <c r="G50" s="682">
        <f>'III. Datos Entrada-BE'!$C$123</f>
        <v>0.13</v>
      </c>
      <c r="H50" s="675">
        <f>C50*D50*E50*'III. Datos Entrada-BE'!$G$44*F50*G50*0.717*0.001</f>
        <v>0</v>
      </c>
      <c r="I50" s="52">
        <f t="shared" si="2"/>
        <v>0</v>
      </c>
      <c r="J50" s="2"/>
    </row>
    <row r="51" spans="2:10" ht="52.5" thickBot="1" x14ac:dyDescent="0.35">
      <c r="B51" s="580" t="str">
        <f>'III. Datos Entrada-BE'!B124</f>
        <v>Terneros (en forraje, en pastos/pastizales) 
Calves (on forage, in pasture/rangeland)</v>
      </c>
      <c r="C51" s="682">
        <f>'III. Datos Entrada-BE'!$G$91</f>
        <v>0</v>
      </c>
      <c r="D51" s="682">
        <f>'III. Datos Entrada-BE'!G197</f>
        <v>0</v>
      </c>
      <c r="E51" s="683">
        <f>'III. Datos Entrada-BE'!$D$108</f>
        <v>1.25</v>
      </c>
      <c r="F51" s="682">
        <f>'III. Datos Entrada-BE'!$C$175</f>
        <v>0</v>
      </c>
      <c r="G51" s="682">
        <f>'III. Datos Entrada-BE'!$C$124</f>
        <v>0.13</v>
      </c>
      <c r="H51" s="675">
        <f>C51*D51*E51*'III. Datos Entrada-BE'!$G$44*F51*G51*0.717*0.001</f>
        <v>0</v>
      </c>
      <c r="I51" s="52">
        <f t="shared" si="2"/>
        <v>0</v>
      </c>
      <c r="J51" s="2"/>
    </row>
    <row r="52" spans="2:10" ht="52.5" thickBot="1" x14ac:dyDescent="0.35">
      <c r="B52" s="580" t="str">
        <f>'III. Datos Entrada-BE'!B125</f>
        <v>Terneros (en lechero, en pastos/pastizales) 
Calves (on milk, in pasture/rangeland)</v>
      </c>
      <c r="C52" s="682">
        <f>'III. Datos Entrada-BE'!$H$91</f>
        <v>0</v>
      </c>
      <c r="D52" s="682">
        <f>'III. Datos Entrada-BE'!H197</f>
        <v>0</v>
      </c>
      <c r="E52" s="683">
        <f>'III. Datos Entrada-BE'!$D$109</f>
        <v>0.52</v>
      </c>
      <c r="F52" s="682">
        <f>'III. Datos Entrada-BE'!$C$175</f>
        <v>0</v>
      </c>
      <c r="G52" s="682">
        <f>'III. Datos Entrada-BE'!$C$125</f>
        <v>0.13</v>
      </c>
      <c r="H52" s="675">
        <f>C52*D52*E52*'III. Datos Entrada-BE'!$G$44*F52*G52*0.717*0.001</f>
        <v>0</v>
      </c>
      <c r="I52" s="52">
        <f t="shared" si="2"/>
        <v>0</v>
      </c>
      <c r="J52" s="2"/>
    </row>
    <row r="53" spans="2:10" ht="52.5" thickBot="1" x14ac:dyDescent="0.35">
      <c r="B53" s="580" t="str">
        <f>'III. Datos Entrada-BE'!B126</f>
        <v>Novillas y novillos (en pastos/pastizales)
Heifers and Steers (in pasture/rangeland)</v>
      </c>
      <c r="C53" s="682">
        <f>'III. Datos Entrada-BE'!$I$91</f>
        <v>0</v>
      </c>
      <c r="D53" s="682">
        <f>'III. Datos Entrada-BE'!I197</f>
        <v>0</v>
      </c>
      <c r="E53" s="683">
        <f>'III. Datos Entrada-BE'!$D$110</f>
        <v>2.86</v>
      </c>
      <c r="F53" s="682">
        <f>'III. Datos Entrada-BE'!$C$175</f>
        <v>0</v>
      </c>
      <c r="G53" s="682">
        <f>'III. Datos Entrada-BE'!$C$126</f>
        <v>0.17</v>
      </c>
      <c r="H53" s="675">
        <f>C53*D53*E53*'III. Datos Entrada-BE'!$G$44*F53*G53*0.717*0.001</f>
        <v>0</v>
      </c>
      <c r="I53" s="52">
        <f t="shared" si="2"/>
        <v>0</v>
      </c>
      <c r="J53" s="2"/>
    </row>
    <row r="54" spans="2:10" ht="26.5" thickBot="1" x14ac:dyDescent="0.35">
      <c r="B54" s="580" t="str">
        <f>'III. Datos Entrada-BE'!B127</f>
        <v>Vacas (en pastos/pastizales) 
Cows (in pasture/rangeland)</v>
      </c>
      <c r="C54" s="682">
        <f>'III. Datos Entrada-BE'!$J$91</f>
        <v>0</v>
      </c>
      <c r="D54" s="682">
        <f>'III. Datos Entrada-BE'!J197</f>
        <v>0</v>
      </c>
      <c r="E54" s="683">
        <f>'III. Datos Entrada-BE'!$D$111</f>
        <v>3.55</v>
      </c>
      <c r="F54" s="682">
        <f>'III. Datos Entrada-BE'!$C$175</f>
        <v>0</v>
      </c>
      <c r="G54" s="682">
        <f>'III. Datos Entrada-BE'!$C$127</f>
        <v>0.188</v>
      </c>
      <c r="H54" s="675">
        <f>C54*D54*E54*'III. Datos Entrada-BE'!$G$44*F54*G54*0.717*0.001</f>
        <v>0</v>
      </c>
      <c r="I54" s="52">
        <f t="shared" si="2"/>
        <v>0</v>
      </c>
      <c r="J54" s="2"/>
    </row>
    <row r="55" spans="2:10" ht="26.5" thickBot="1" x14ac:dyDescent="0.35">
      <c r="B55" s="580" t="str">
        <f>'III. Datos Entrada-BE'!B128</f>
        <v>Cerdos de vivero 
Nursery swine</v>
      </c>
      <c r="C55" s="682">
        <f>'III. Datos Entrada-BE'!$K$91</f>
        <v>0</v>
      </c>
      <c r="D55" s="682">
        <f>'III. Datos Entrada-BE'!K197</f>
        <v>0</v>
      </c>
      <c r="E55" s="683">
        <f>'III. Datos Entrada-BE'!$D$112</f>
        <v>0.16600000000000001</v>
      </c>
      <c r="F55" s="682">
        <f>'III. Datos Entrada-BE'!$C$175</f>
        <v>0</v>
      </c>
      <c r="G55" s="682">
        <f>'III. Datos Entrada-BE'!$C$128</f>
        <v>0.28999999999999998</v>
      </c>
      <c r="H55" s="675">
        <f>C55*D55*E55*'III. Datos Entrada-BE'!$G$44*F55*G55*0.717*0.001</f>
        <v>0</v>
      </c>
      <c r="I55" s="52">
        <f t="shared" si="2"/>
        <v>0</v>
      </c>
      <c r="J55" s="2"/>
    </row>
    <row r="56" spans="2:10" ht="26.5" thickBot="1" x14ac:dyDescent="0.35">
      <c r="B56" s="581" t="str">
        <f>'III. Datos Entrada-BE'!B129</f>
        <v>Cerdos en crecimiento 
Growing swine</v>
      </c>
      <c r="C56" s="582">
        <f>'III. Datos Entrada-BE'!$L$91</f>
        <v>0</v>
      </c>
      <c r="D56" s="582">
        <f>'III. Datos Entrada-BE'!L197</f>
        <v>0</v>
      </c>
      <c r="E56" s="583">
        <f>'III. Datos Entrada-BE'!$D$113</f>
        <v>0.40500000000000003</v>
      </c>
      <c r="F56" s="582">
        <f>'III. Datos Entrada-BE'!$C$175</f>
        <v>0</v>
      </c>
      <c r="G56" s="582">
        <f>'III. Datos Entrada-BE'!$C$129</f>
        <v>0.28999999999999998</v>
      </c>
      <c r="H56" s="576">
        <f>C56*D56*E56*'III. Datos Entrada-BE'!$G$44*F56*G56*0.717*0.001</f>
        <v>0</v>
      </c>
      <c r="I56" s="52">
        <f t="shared" si="2"/>
        <v>0</v>
      </c>
      <c r="J56" s="2"/>
    </row>
    <row r="57" spans="2:10" ht="13.5" thickBot="1" x14ac:dyDescent="0.35">
      <c r="B57" s="372" t="s">
        <v>185</v>
      </c>
      <c r="C57" s="228"/>
      <c r="D57" s="228"/>
      <c r="E57" s="228"/>
      <c r="F57" s="228"/>
      <c r="G57" s="229"/>
      <c r="H57" s="66">
        <f>SUM(H47:H56)</f>
        <v>0</v>
      </c>
      <c r="I57" s="54">
        <f>SUM(I47:I56)</f>
        <v>0</v>
      </c>
      <c r="J57" s="2"/>
    </row>
    <row r="58" spans="2:10" ht="13.5" thickBot="1" x14ac:dyDescent="0.35">
      <c r="B58" s="26"/>
      <c r="I58" s="8"/>
      <c r="J58" s="2"/>
    </row>
    <row r="59" spans="2:10" ht="13.5" thickBot="1" x14ac:dyDescent="0.35">
      <c r="B59" s="371">
        <f>'III. Datos Entrada-BE'!C139</f>
        <v>0</v>
      </c>
      <c r="J59" s="2"/>
    </row>
    <row r="60" spans="2:10" s="22" customFormat="1" ht="27.5" thickBot="1" x14ac:dyDescent="0.45">
      <c r="B60" s="247" t="s">
        <v>935</v>
      </c>
      <c r="C60" s="71" t="s">
        <v>178</v>
      </c>
      <c r="D60" s="71" t="s">
        <v>179</v>
      </c>
      <c r="E60" s="71" t="s">
        <v>180</v>
      </c>
      <c r="F60" s="71" t="s">
        <v>181</v>
      </c>
      <c r="G60" s="71" t="s">
        <v>182</v>
      </c>
      <c r="H60" s="61" t="s">
        <v>183</v>
      </c>
      <c r="I60" s="72" t="s">
        <v>184</v>
      </c>
    </row>
    <row r="61" spans="2:10" ht="52.5" thickBot="1" x14ac:dyDescent="0.35">
      <c r="B61" s="338" t="str">
        <f>'III. Datos Entrada-BE'!B120</f>
        <v>Vacas lecheras y no lecheras (en sistemas intensivos) 
Dairy and non-milking dairy cows (in intensive systems)</v>
      </c>
      <c r="C61" s="224">
        <f>'III. Datos Entrada-BE'!$C$91</f>
        <v>0</v>
      </c>
      <c r="D61" s="224">
        <f>'III. Datos Entrada-BE'!C198</f>
        <v>0</v>
      </c>
      <c r="E61" s="225">
        <f>'V. BE CH4-AS'!$C$20</f>
        <v>3.91</v>
      </c>
      <c r="F61" s="224">
        <f>'III. Datos Entrada-BE'!$C$176</f>
        <v>0</v>
      </c>
      <c r="G61" s="224">
        <f>'III. Datos Entrada-BE'!$C$120</f>
        <v>0.13</v>
      </c>
      <c r="H61" s="50">
        <f>C61*D61*E61*'III. Datos Entrada-BE'!$G$44*F61*G61*0.717*0.001</f>
        <v>0</v>
      </c>
      <c r="I61" s="52">
        <f t="shared" ref="I61:I70" si="3">H61*PCG</f>
        <v>0</v>
      </c>
      <c r="J61" s="2"/>
    </row>
    <row r="62" spans="2:10" ht="52.5" thickBot="1" x14ac:dyDescent="0.35">
      <c r="B62" s="580" t="str">
        <f>'III. Datos Entrada-BE'!B121</f>
        <v>Novillos/Novillos (en sistemas intensivos) 
Heifers/Steers (in intensive systems)</v>
      </c>
      <c r="C62" s="682">
        <f>'III. Datos Entrada-BE'!$D$91</f>
        <v>0</v>
      </c>
      <c r="D62" s="682">
        <f>'III. Datos Entrada-BE'!D198</f>
        <v>0</v>
      </c>
      <c r="E62" s="683">
        <f>'V. BE CH4-AS'!$C$68</f>
        <v>2.86</v>
      </c>
      <c r="F62" s="682">
        <f>'III. Datos Entrada-BE'!$C$176</f>
        <v>0</v>
      </c>
      <c r="G62" s="682">
        <f>'III. Datos Entrada-BE'!$C$121</f>
        <v>0.17</v>
      </c>
      <c r="H62" s="675">
        <f>C62*D62*E62*'III. Datos Entrada-BE'!$G$44*F62*G62*0.717*0.001</f>
        <v>0</v>
      </c>
      <c r="I62" s="52">
        <f t="shared" si="3"/>
        <v>0</v>
      </c>
      <c r="J62" s="2"/>
    </row>
    <row r="63" spans="2:10" ht="65.5" thickBot="1" x14ac:dyDescent="0.35">
      <c r="B63" s="580" t="str">
        <f>'III. Datos Entrada-BE'!B122</f>
        <v>Novillas de reemplazo/crecimiento (en pastos o pastizales) 
Replacement/growing heifers (in pasture or rangeland)</v>
      </c>
      <c r="C63" s="682">
        <f>'III. Datos Entrada-BE'!$E$91</f>
        <v>0</v>
      </c>
      <c r="D63" s="682">
        <f>'III. Datos Entrada-BE'!E198</f>
        <v>0</v>
      </c>
      <c r="E63" s="683">
        <f>'III. Datos Entrada-BE'!$D$106</f>
        <v>2.4900000000000002</v>
      </c>
      <c r="F63" s="682">
        <f>'III. Datos Entrada-BE'!$C$176</f>
        <v>0</v>
      </c>
      <c r="G63" s="682">
        <f>'III. Datos Entrada-BE'!$C$122</f>
        <v>0.13</v>
      </c>
      <c r="H63" s="675">
        <f>C63*D63*E63*'III. Datos Entrada-BE'!$G$44*F63*G63*0.717*0.001</f>
        <v>0</v>
      </c>
      <c r="I63" s="52">
        <f t="shared" si="3"/>
        <v>0</v>
      </c>
      <c r="J63" s="2"/>
    </row>
    <row r="64" spans="2:10" ht="26.5" thickBot="1" x14ac:dyDescent="0.35">
      <c r="B64" s="580" t="str">
        <f>'III. Datos Entrada-BE'!B123</f>
        <v>Toros (pastoreo) 
Bulls (grazing)</v>
      </c>
      <c r="C64" s="682">
        <f>'III. Datos Entrada-BE'!$F$91</f>
        <v>0</v>
      </c>
      <c r="D64" s="682">
        <f>'III. Datos Entrada-BE'!F198</f>
        <v>0</v>
      </c>
      <c r="E64" s="683">
        <f>'III. Datos Entrada-BE'!$D$107</f>
        <v>3.87</v>
      </c>
      <c r="F64" s="682">
        <f>'III. Datos Entrada-BE'!$C$176</f>
        <v>0</v>
      </c>
      <c r="G64" s="682">
        <f>'III. Datos Entrada-BE'!$C$123</f>
        <v>0.13</v>
      </c>
      <c r="H64" s="675">
        <f>C64*D64*E64*'III. Datos Entrada-BE'!$G$44*F64*G64*0.717*0.001</f>
        <v>0</v>
      </c>
      <c r="I64" s="52">
        <f t="shared" si="3"/>
        <v>0</v>
      </c>
      <c r="J64" s="2"/>
    </row>
    <row r="65" spans="2:10" ht="52.5" thickBot="1" x14ac:dyDescent="0.35">
      <c r="B65" s="580" t="str">
        <f>'III. Datos Entrada-BE'!B124</f>
        <v>Terneros (en forraje, en pastos/pastizales) 
Calves (on forage, in pasture/rangeland)</v>
      </c>
      <c r="C65" s="682">
        <f>'III. Datos Entrada-BE'!$G$91</f>
        <v>0</v>
      </c>
      <c r="D65" s="682">
        <f>'III. Datos Entrada-BE'!G198</f>
        <v>0</v>
      </c>
      <c r="E65" s="683">
        <f>'III. Datos Entrada-BE'!$D$108</f>
        <v>1.25</v>
      </c>
      <c r="F65" s="682">
        <f>'III. Datos Entrada-BE'!$C$176</f>
        <v>0</v>
      </c>
      <c r="G65" s="682">
        <f>'III. Datos Entrada-BE'!$C$124</f>
        <v>0.13</v>
      </c>
      <c r="H65" s="675">
        <f>C65*D65*E65*'III. Datos Entrada-BE'!$G$44*F65*G65*0.717*0.001</f>
        <v>0</v>
      </c>
      <c r="I65" s="52">
        <f t="shared" si="3"/>
        <v>0</v>
      </c>
      <c r="J65" s="2"/>
    </row>
    <row r="66" spans="2:10" ht="52.5" thickBot="1" x14ac:dyDescent="0.35">
      <c r="B66" s="580" t="str">
        <f>'III. Datos Entrada-BE'!B125</f>
        <v>Terneros (en lechero, en pastos/pastizales) 
Calves (on milk, in pasture/rangeland)</v>
      </c>
      <c r="C66" s="682">
        <f>'III. Datos Entrada-BE'!$H$91</f>
        <v>0</v>
      </c>
      <c r="D66" s="682">
        <f>'III. Datos Entrada-BE'!H198</f>
        <v>0</v>
      </c>
      <c r="E66" s="683">
        <f>'III. Datos Entrada-BE'!$D$109</f>
        <v>0.52</v>
      </c>
      <c r="F66" s="682">
        <f>'III. Datos Entrada-BE'!$C$176</f>
        <v>0</v>
      </c>
      <c r="G66" s="682">
        <f>'III. Datos Entrada-BE'!$C$125</f>
        <v>0.13</v>
      </c>
      <c r="H66" s="675">
        <f>C66*D66*E66*'III. Datos Entrada-BE'!$G$44*F66*G66*0.717*0.001</f>
        <v>0</v>
      </c>
      <c r="I66" s="52">
        <f t="shared" si="3"/>
        <v>0</v>
      </c>
      <c r="J66" s="2"/>
    </row>
    <row r="67" spans="2:10" ht="52.5" thickBot="1" x14ac:dyDescent="0.35">
      <c r="B67" s="580" t="str">
        <f>'III. Datos Entrada-BE'!B126</f>
        <v>Novillas y novillos (en pastos/pastizales)
Heifers and Steers (in pasture/rangeland)</v>
      </c>
      <c r="C67" s="682">
        <f>'III. Datos Entrada-BE'!$I$91</f>
        <v>0</v>
      </c>
      <c r="D67" s="682">
        <f>'III. Datos Entrada-BE'!I198</f>
        <v>0</v>
      </c>
      <c r="E67" s="683">
        <f>'III. Datos Entrada-BE'!$D$110</f>
        <v>2.86</v>
      </c>
      <c r="F67" s="682">
        <f>'III. Datos Entrada-BE'!$C$176</f>
        <v>0</v>
      </c>
      <c r="G67" s="682">
        <f>'III. Datos Entrada-BE'!$C$126</f>
        <v>0.17</v>
      </c>
      <c r="H67" s="675">
        <f>C67*D67*E67*'III. Datos Entrada-BE'!$G$44*F67*G67*0.717*0.001</f>
        <v>0</v>
      </c>
      <c r="I67" s="52">
        <f t="shared" si="3"/>
        <v>0</v>
      </c>
      <c r="J67" s="2"/>
    </row>
    <row r="68" spans="2:10" ht="26.5" thickBot="1" x14ac:dyDescent="0.35">
      <c r="B68" s="580" t="str">
        <f>'III. Datos Entrada-BE'!B127</f>
        <v>Vacas (en pastos/pastizales) 
Cows (in pasture/rangeland)</v>
      </c>
      <c r="C68" s="682">
        <f>'III. Datos Entrada-BE'!$J$91</f>
        <v>0</v>
      </c>
      <c r="D68" s="682">
        <f>'III. Datos Entrada-BE'!J198</f>
        <v>0</v>
      </c>
      <c r="E68" s="683">
        <f>'III. Datos Entrada-BE'!$D$111</f>
        <v>3.55</v>
      </c>
      <c r="F68" s="682">
        <f>'III. Datos Entrada-BE'!$C$176</f>
        <v>0</v>
      </c>
      <c r="G68" s="682">
        <f>'III. Datos Entrada-BE'!$C$127</f>
        <v>0.188</v>
      </c>
      <c r="H68" s="675">
        <f>C68*D68*E68*'III. Datos Entrada-BE'!$G$44*F68*G68*0.717*0.001</f>
        <v>0</v>
      </c>
      <c r="I68" s="52">
        <f t="shared" si="3"/>
        <v>0</v>
      </c>
      <c r="J68" s="2"/>
    </row>
    <row r="69" spans="2:10" ht="26.5" thickBot="1" x14ac:dyDescent="0.35">
      <c r="B69" s="580" t="str">
        <f>'III. Datos Entrada-BE'!B128</f>
        <v>Cerdos de vivero 
Nursery swine</v>
      </c>
      <c r="C69" s="682">
        <f>'III. Datos Entrada-BE'!$K$91</f>
        <v>0</v>
      </c>
      <c r="D69" s="682">
        <f>'III. Datos Entrada-BE'!K198</f>
        <v>0</v>
      </c>
      <c r="E69" s="683">
        <f>'III. Datos Entrada-BE'!$D$112</f>
        <v>0.16600000000000001</v>
      </c>
      <c r="F69" s="682">
        <f>'III. Datos Entrada-BE'!$C$176</f>
        <v>0</v>
      </c>
      <c r="G69" s="682">
        <f>'III. Datos Entrada-BE'!$C$128</f>
        <v>0.28999999999999998</v>
      </c>
      <c r="H69" s="675">
        <f>C69*D69*E69*'III. Datos Entrada-BE'!$G$44*F69*G69*0.717*0.001</f>
        <v>0</v>
      </c>
      <c r="I69" s="52">
        <f t="shared" si="3"/>
        <v>0</v>
      </c>
      <c r="J69" s="2"/>
    </row>
    <row r="70" spans="2:10" ht="26.5" thickBot="1" x14ac:dyDescent="0.35">
      <c r="B70" s="581" t="str">
        <f>'III. Datos Entrada-BE'!B129</f>
        <v>Cerdos en crecimiento 
Growing swine</v>
      </c>
      <c r="C70" s="582">
        <f>'III. Datos Entrada-BE'!$L$91</f>
        <v>0</v>
      </c>
      <c r="D70" s="582">
        <f>'III. Datos Entrada-BE'!L198</f>
        <v>0</v>
      </c>
      <c r="E70" s="583">
        <f>'III. Datos Entrada-BE'!$D$113</f>
        <v>0.40500000000000003</v>
      </c>
      <c r="F70" s="582">
        <f>'III. Datos Entrada-BE'!$C$176</f>
        <v>0</v>
      </c>
      <c r="G70" s="582">
        <f>'III. Datos Entrada-BE'!$C$129</f>
        <v>0.28999999999999998</v>
      </c>
      <c r="H70" s="576">
        <f>C70*D70*E70*'III. Datos Entrada-BE'!$G$44*F70*G70*0.717*0.001</f>
        <v>0</v>
      </c>
      <c r="I70" s="52">
        <f t="shared" si="3"/>
        <v>0</v>
      </c>
      <c r="J70" s="2"/>
    </row>
    <row r="71" spans="2:10" ht="13.5" thickBot="1" x14ac:dyDescent="0.35">
      <c r="B71" s="372" t="s">
        <v>185</v>
      </c>
      <c r="C71" s="228"/>
      <c r="D71" s="228"/>
      <c r="E71" s="228"/>
      <c r="F71" s="228"/>
      <c r="G71" s="229"/>
      <c r="H71" s="66">
        <f>SUM(H61:H70)</f>
        <v>0</v>
      </c>
      <c r="I71" s="54">
        <f>SUM(I61:I70)</f>
        <v>0</v>
      </c>
      <c r="J71" s="2"/>
    </row>
    <row r="72" spans="2:10" ht="13.5" thickBot="1" x14ac:dyDescent="0.35">
      <c r="B72" s="26"/>
      <c r="H72" s="8"/>
      <c r="I72" s="8"/>
      <c r="J72" s="2"/>
    </row>
    <row r="73" spans="2:10" ht="13.5" thickBot="1" x14ac:dyDescent="0.35">
      <c r="B73" s="371">
        <f>'III. Datos Entrada-BE'!C140</f>
        <v>0</v>
      </c>
      <c r="H73" s="3"/>
      <c r="J73" s="2"/>
    </row>
    <row r="74" spans="2:10" s="22" customFormat="1" ht="27.5" thickBot="1" x14ac:dyDescent="0.45">
      <c r="B74" s="247" t="s">
        <v>935</v>
      </c>
      <c r="C74" s="71" t="s">
        <v>178</v>
      </c>
      <c r="D74" s="71" t="s">
        <v>179</v>
      </c>
      <c r="E74" s="71" t="s">
        <v>180</v>
      </c>
      <c r="F74" s="71" t="s">
        <v>181</v>
      </c>
      <c r="G74" s="71" t="s">
        <v>182</v>
      </c>
      <c r="H74" s="61" t="s">
        <v>183</v>
      </c>
      <c r="I74" s="72" t="s">
        <v>184</v>
      </c>
    </row>
    <row r="75" spans="2:10" ht="52.5" thickBot="1" x14ac:dyDescent="0.35">
      <c r="B75" s="338" t="str">
        <f>'III. Datos Entrada-BE'!B120</f>
        <v>Vacas lecheras y no lecheras (en sistemas intensivos) 
Dairy and non-milking dairy cows (in intensive systems)</v>
      </c>
      <c r="C75" s="224">
        <f>'III. Datos Entrada-BE'!$C$91</f>
        <v>0</v>
      </c>
      <c r="D75" s="224">
        <f>'III. Datos Entrada-BE'!C199</f>
        <v>0</v>
      </c>
      <c r="E75" s="225">
        <f>'V. BE CH4-AS'!$C$20</f>
        <v>3.91</v>
      </c>
      <c r="F75" s="224">
        <f>'III. Datos Entrada-BE'!$C$177</f>
        <v>0</v>
      </c>
      <c r="G75" s="224">
        <f>'III. Datos Entrada-BE'!$C$120</f>
        <v>0.13</v>
      </c>
      <c r="H75" s="50">
        <f>C75*D75*E75*'III. Datos Entrada-BE'!$G$44*F75*G75*0.717*0.001</f>
        <v>0</v>
      </c>
      <c r="I75" s="52">
        <f t="shared" ref="I75:I84" si="4">H75*PCG</f>
        <v>0</v>
      </c>
      <c r="J75" s="2"/>
    </row>
    <row r="76" spans="2:10" ht="52.5" thickBot="1" x14ac:dyDescent="0.35">
      <c r="B76" s="580" t="str">
        <f>'III. Datos Entrada-BE'!B121</f>
        <v>Novillos/Novillos (en sistemas intensivos) 
Heifers/Steers (in intensive systems)</v>
      </c>
      <c r="C76" s="682">
        <f>'III. Datos Entrada-BE'!$D$91</f>
        <v>0</v>
      </c>
      <c r="D76" s="682">
        <f>'III. Datos Entrada-BE'!D199</f>
        <v>0</v>
      </c>
      <c r="E76" s="683">
        <f>'V. BE CH4-AS'!$C$68</f>
        <v>2.86</v>
      </c>
      <c r="F76" s="682">
        <f>'III. Datos Entrada-BE'!$C$177</f>
        <v>0</v>
      </c>
      <c r="G76" s="682">
        <f>'III. Datos Entrada-BE'!$C$121</f>
        <v>0.17</v>
      </c>
      <c r="H76" s="675">
        <f>C76*D76*E76*'III. Datos Entrada-BE'!$G$44*F76*G76*0.717*0.001</f>
        <v>0</v>
      </c>
      <c r="I76" s="52">
        <f t="shared" si="4"/>
        <v>0</v>
      </c>
      <c r="J76" s="2"/>
    </row>
    <row r="77" spans="2:10" ht="65.5" thickBot="1" x14ac:dyDescent="0.35">
      <c r="B77" s="580" t="str">
        <f>'III. Datos Entrada-BE'!B122</f>
        <v>Novillas de reemplazo/crecimiento (en pastos o pastizales) 
Replacement/growing heifers (in pasture or rangeland)</v>
      </c>
      <c r="C77" s="682">
        <f>'III. Datos Entrada-BE'!$E$91</f>
        <v>0</v>
      </c>
      <c r="D77" s="682">
        <f>'III. Datos Entrada-BE'!E199</f>
        <v>0</v>
      </c>
      <c r="E77" s="683">
        <f>'III. Datos Entrada-BE'!$D$106</f>
        <v>2.4900000000000002</v>
      </c>
      <c r="F77" s="682">
        <f>'III. Datos Entrada-BE'!$C$177</f>
        <v>0</v>
      </c>
      <c r="G77" s="682">
        <f>'III. Datos Entrada-BE'!$C$122</f>
        <v>0.13</v>
      </c>
      <c r="H77" s="675">
        <f>C77*D77*E77*'III. Datos Entrada-BE'!$G$44*F77*G77*0.717*0.001</f>
        <v>0</v>
      </c>
      <c r="I77" s="52">
        <f t="shared" si="4"/>
        <v>0</v>
      </c>
      <c r="J77" s="2"/>
    </row>
    <row r="78" spans="2:10" ht="26.5" thickBot="1" x14ac:dyDescent="0.35">
      <c r="B78" s="580" t="str">
        <f>'III. Datos Entrada-BE'!B123</f>
        <v>Toros (pastoreo) 
Bulls (grazing)</v>
      </c>
      <c r="C78" s="682">
        <f>'III. Datos Entrada-BE'!$F$91</f>
        <v>0</v>
      </c>
      <c r="D78" s="682">
        <f>'III. Datos Entrada-BE'!F199</f>
        <v>0</v>
      </c>
      <c r="E78" s="683">
        <f>'III. Datos Entrada-BE'!$D$107</f>
        <v>3.87</v>
      </c>
      <c r="F78" s="682">
        <f>'III. Datos Entrada-BE'!$C$177</f>
        <v>0</v>
      </c>
      <c r="G78" s="682">
        <f>'III. Datos Entrada-BE'!$C$123</f>
        <v>0.13</v>
      </c>
      <c r="H78" s="675">
        <f>C78*D78*E78*'III. Datos Entrada-BE'!$G$44*F78*G78*0.717*0.001</f>
        <v>0</v>
      </c>
      <c r="I78" s="52">
        <f t="shared" si="4"/>
        <v>0</v>
      </c>
      <c r="J78" s="2"/>
    </row>
    <row r="79" spans="2:10" ht="52.5" thickBot="1" x14ac:dyDescent="0.35">
      <c r="B79" s="580" t="str">
        <f>'III. Datos Entrada-BE'!B124</f>
        <v>Terneros (en forraje, en pastos/pastizales) 
Calves (on forage, in pasture/rangeland)</v>
      </c>
      <c r="C79" s="682">
        <f>'III. Datos Entrada-BE'!$G$91</f>
        <v>0</v>
      </c>
      <c r="D79" s="682">
        <f>'III. Datos Entrada-BE'!G199</f>
        <v>0</v>
      </c>
      <c r="E79" s="683">
        <f>'III. Datos Entrada-BE'!$D$108</f>
        <v>1.25</v>
      </c>
      <c r="F79" s="682">
        <f>'III. Datos Entrada-BE'!$C$177</f>
        <v>0</v>
      </c>
      <c r="G79" s="682">
        <f>'III. Datos Entrada-BE'!$C$124</f>
        <v>0.13</v>
      </c>
      <c r="H79" s="675">
        <f>C79*D79*E79*'III. Datos Entrada-BE'!$G$44*F79*G79*0.717*0.001</f>
        <v>0</v>
      </c>
      <c r="I79" s="52">
        <f t="shared" si="4"/>
        <v>0</v>
      </c>
      <c r="J79" s="2"/>
    </row>
    <row r="80" spans="2:10" ht="52.5" thickBot="1" x14ac:dyDescent="0.35">
      <c r="B80" s="580" t="str">
        <f>'III. Datos Entrada-BE'!B125</f>
        <v>Terneros (en lechero, en pastos/pastizales) 
Calves (on milk, in pasture/rangeland)</v>
      </c>
      <c r="C80" s="682">
        <f>'III. Datos Entrada-BE'!$H$91</f>
        <v>0</v>
      </c>
      <c r="D80" s="682">
        <f>'III. Datos Entrada-BE'!H199</f>
        <v>0</v>
      </c>
      <c r="E80" s="683">
        <f>'III. Datos Entrada-BE'!$D$109</f>
        <v>0.52</v>
      </c>
      <c r="F80" s="682">
        <f>'III. Datos Entrada-BE'!$C$177</f>
        <v>0</v>
      </c>
      <c r="G80" s="682">
        <f>'III. Datos Entrada-BE'!$C$125</f>
        <v>0.13</v>
      </c>
      <c r="H80" s="675">
        <f>C80*D80*E80*'III. Datos Entrada-BE'!$G$44*F80*G80*0.717*0.001</f>
        <v>0</v>
      </c>
      <c r="I80" s="52">
        <f t="shared" si="4"/>
        <v>0</v>
      </c>
      <c r="J80" s="2"/>
    </row>
    <row r="81" spans="2:10" ht="52.5" thickBot="1" x14ac:dyDescent="0.35">
      <c r="B81" s="580" t="str">
        <f>'III. Datos Entrada-BE'!B126</f>
        <v>Novillas y novillos (en pastos/pastizales)
Heifers and Steers (in pasture/rangeland)</v>
      </c>
      <c r="C81" s="682">
        <f>'III. Datos Entrada-BE'!$I$91</f>
        <v>0</v>
      </c>
      <c r="D81" s="682">
        <f>'III. Datos Entrada-BE'!I199</f>
        <v>0</v>
      </c>
      <c r="E81" s="683">
        <f>'III. Datos Entrada-BE'!$D$110</f>
        <v>2.86</v>
      </c>
      <c r="F81" s="682">
        <f>'III. Datos Entrada-BE'!$C$177</f>
        <v>0</v>
      </c>
      <c r="G81" s="682">
        <f>'III. Datos Entrada-BE'!$C$126</f>
        <v>0.17</v>
      </c>
      <c r="H81" s="675">
        <f>C81*D81*E81*'III. Datos Entrada-BE'!$G$44*F81*G81*0.717*0.001</f>
        <v>0</v>
      </c>
      <c r="I81" s="52">
        <f t="shared" si="4"/>
        <v>0</v>
      </c>
      <c r="J81" s="2"/>
    </row>
    <row r="82" spans="2:10" ht="26.5" thickBot="1" x14ac:dyDescent="0.35">
      <c r="B82" s="580" t="str">
        <f>'III. Datos Entrada-BE'!B127</f>
        <v>Vacas (en pastos/pastizales) 
Cows (in pasture/rangeland)</v>
      </c>
      <c r="C82" s="682">
        <f>'III. Datos Entrada-BE'!$J$91</f>
        <v>0</v>
      </c>
      <c r="D82" s="682">
        <f>'III. Datos Entrada-BE'!J199</f>
        <v>0</v>
      </c>
      <c r="E82" s="683">
        <f>'III. Datos Entrada-BE'!$D$111</f>
        <v>3.55</v>
      </c>
      <c r="F82" s="682">
        <f>'III. Datos Entrada-BE'!$C$177</f>
        <v>0</v>
      </c>
      <c r="G82" s="682">
        <f>'III. Datos Entrada-BE'!$C$127</f>
        <v>0.188</v>
      </c>
      <c r="H82" s="675">
        <f>C82*D82*E82*'III. Datos Entrada-BE'!$G$44*F82*G82*0.717*0.001</f>
        <v>0</v>
      </c>
      <c r="I82" s="52">
        <f t="shared" si="4"/>
        <v>0</v>
      </c>
      <c r="J82" s="2"/>
    </row>
    <row r="83" spans="2:10" ht="26.5" thickBot="1" x14ac:dyDescent="0.35">
      <c r="B83" s="580" t="str">
        <f>'III. Datos Entrada-BE'!B128</f>
        <v>Cerdos de vivero 
Nursery swine</v>
      </c>
      <c r="C83" s="682">
        <f>'III. Datos Entrada-BE'!$K$91</f>
        <v>0</v>
      </c>
      <c r="D83" s="682">
        <f>'III. Datos Entrada-BE'!K199</f>
        <v>0</v>
      </c>
      <c r="E83" s="683">
        <f>'III. Datos Entrada-BE'!$D$112</f>
        <v>0.16600000000000001</v>
      </c>
      <c r="F83" s="682">
        <f>'III. Datos Entrada-BE'!$C$177</f>
        <v>0</v>
      </c>
      <c r="G83" s="682">
        <f>'III. Datos Entrada-BE'!$C$128</f>
        <v>0.28999999999999998</v>
      </c>
      <c r="H83" s="675">
        <f>C83*D83*E83*'III. Datos Entrada-BE'!$G$44*F83*G83*0.717*0.001</f>
        <v>0</v>
      </c>
      <c r="I83" s="52">
        <f t="shared" si="4"/>
        <v>0</v>
      </c>
      <c r="J83" s="2"/>
    </row>
    <row r="84" spans="2:10" ht="26.5" thickBot="1" x14ac:dyDescent="0.35">
      <c r="B84" s="581" t="str">
        <f>'III. Datos Entrada-BE'!B129</f>
        <v>Cerdos en crecimiento 
Growing swine</v>
      </c>
      <c r="C84" s="582">
        <f>'III. Datos Entrada-BE'!$L$91</f>
        <v>0</v>
      </c>
      <c r="D84" s="582">
        <f>'III. Datos Entrada-BE'!L199</f>
        <v>0</v>
      </c>
      <c r="E84" s="583">
        <f>'III. Datos Entrada-BE'!$D$113</f>
        <v>0.40500000000000003</v>
      </c>
      <c r="F84" s="582">
        <f>'III. Datos Entrada-BE'!$C$177</f>
        <v>0</v>
      </c>
      <c r="G84" s="582">
        <f>'III. Datos Entrada-BE'!$C$129</f>
        <v>0.28999999999999998</v>
      </c>
      <c r="H84" s="576">
        <f>C84*D84*E84*'III. Datos Entrada-BE'!$G$44*F84*G84*0.717*0.001</f>
        <v>0</v>
      </c>
      <c r="I84" s="52">
        <f t="shared" si="4"/>
        <v>0</v>
      </c>
      <c r="J84" s="2"/>
    </row>
    <row r="85" spans="2:10" ht="13.5" thickBot="1" x14ac:dyDescent="0.35">
      <c r="B85" s="372" t="s">
        <v>185</v>
      </c>
      <c r="C85" s="228"/>
      <c r="D85" s="228"/>
      <c r="E85" s="228"/>
      <c r="F85" s="228"/>
      <c r="G85" s="229"/>
      <c r="H85" s="66">
        <f>SUM(H75:H84)</f>
        <v>0</v>
      </c>
      <c r="I85" s="54">
        <f>SUM(I75:I84)</f>
        <v>0</v>
      </c>
      <c r="J85" s="2"/>
    </row>
    <row r="86" spans="2:10" ht="13.5" thickBot="1" x14ac:dyDescent="0.35">
      <c r="B86" s="26"/>
      <c r="H86" s="8"/>
      <c r="I86" s="8"/>
      <c r="J86" s="2"/>
    </row>
    <row r="87" spans="2:10" ht="13.5" thickBot="1" x14ac:dyDescent="0.35">
      <c r="B87" s="371">
        <f>'III. Datos Entrada-BE'!C141</f>
        <v>0</v>
      </c>
      <c r="H87" s="3"/>
      <c r="J87" s="2"/>
    </row>
    <row r="88" spans="2:10" s="22" customFormat="1" ht="27.5" thickBot="1" x14ac:dyDescent="0.45">
      <c r="B88" s="247" t="s">
        <v>935</v>
      </c>
      <c r="C88" s="71" t="s">
        <v>178</v>
      </c>
      <c r="D88" s="71" t="s">
        <v>179</v>
      </c>
      <c r="E88" s="71" t="s">
        <v>180</v>
      </c>
      <c r="F88" s="71" t="s">
        <v>181</v>
      </c>
      <c r="G88" s="71" t="s">
        <v>182</v>
      </c>
      <c r="H88" s="61" t="s">
        <v>183</v>
      </c>
      <c r="I88" s="72" t="s">
        <v>184</v>
      </c>
    </row>
    <row r="89" spans="2:10" ht="52.5" thickBot="1" x14ac:dyDescent="0.35">
      <c r="B89" s="338" t="str">
        <f>'III. Datos Entrada-BE'!B120</f>
        <v>Vacas lecheras y no lecheras (en sistemas intensivos) 
Dairy and non-milking dairy cows (in intensive systems)</v>
      </c>
      <c r="C89" s="224">
        <f>'III. Datos Entrada-BE'!$C$91</f>
        <v>0</v>
      </c>
      <c r="D89" s="224">
        <f>'III. Datos Entrada-BE'!C200</f>
        <v>0</v>
      </c>
      <c r="E89" s="225">
        <f>'V. BE CH4-AS'!$C$20</f>
        <v>3.91</v>
      </c>
      <c r="F89" s="224">
        <f>'III. Datos Entrada-BE'!$C$178</f>
        <v>0</v>
      </c>
      <c r="G89" s="224">
        <f>'III. Datos Entrada-BE'!$C$120</f>
        <v>0.13</v>
      </c>
      <c r="H89" s="50">
        <f>C89*D89*E89*'III. Datos Entrada-BE'!$G$44*F89*G89*0.717*0.001</f>
        <v>0</v>
      </c>
      <c r="I89" s="52">
        <f t="shared" ref="I89:I98" si="5">H89*PCG</f>
        <v>0</v>
      </c>
      <c r="J89" s="2"/>
    </row>
    <row r="90" spans="2:10" ht="52.5" thickBot="1" x14ac:dyDescent="0.35">
      <c r="B90" s="580" t="str">
        <f>'III. Datos Entrada-BE'!B121</f>
        <v>Novillos/Novillos (en sistemas intensivos) 
Heifers/Steers (in intensive systems)</v>
      </c>
      <c r="C90" s="682">
        <f>'III. Datos Entrada-BE'!$D$91</f>
        <v>0</v>
      </c>
      <c r="D90" s="682">
        <f>'III. Datos Entrada-BE'!D200</f>
        <v>0</v>
      </c>
      <c r="E90" s="683">
        <f>'V. BE CH4-AS'!$C$68</f>
        <v>2.86</v>
      </c>
      <c r="F90" s="682">
        <f>'III. Datos Entrada-BE'!$C$178</f>
        <v>0</v>
      </c>
      <c r="G90" s="682">
        <f>'III. Datos Entrada-BE'!$C$121</f>
        <v>0.17</v>
      </c>
      <c r="H90" s="675">
        <f>C90*D90*E90*'III. Datos Entrada-BE'!$G$44*F90*G90*0.717*0.001</f>
        <v>0</v>
      </c>
      <c r="I90" s="52">
        <f t="shared" si="5"/>
        <v>0</v>
      </c>
      <c r="J90" s="2"/>
    </row>
    <row r="91" spans="2:10" ht="65.5" thickBot="1" x14ac:dyDescent="0.35">
      <c r="B91" s="580" t="str">
        <f>'III. Datos Entrada-BE'!B122</f>
        <v>Novillas de reemplazo/crecimiento (en pastos o pastizales) 
Replacement/growing heifers (in pasture or rangeland)</v>
      </c>
      <c r="C91" s="682">
        <f>'III. Datos Entrada-BE'!$E$91</f>
        <v>0</v>
      </c>
      <c r="D91" s="682">
        <f>'III. Datos Entrada-BE'!E200</f>
        <v>0</v>
      </c>
      <c r="E91" s="683">
        <f>'III. Datos Entrada-BE'!$D$106</f>
        <v>2.4900000000000002</v>
      </c>
      <c r="F91" s="682">
        <f>'III. Datos Entrada-BE'!$C$178</f>
        <v>0</v>
      </c>
      <c r="G91" s="682">
        <f>'III. Datos Entrada-BE'!$C$122</f>
        <v>0.13</v>
      </c>
      <c r="H91" s="675">
        <f>C91*D91*E91*'III. Datos Entrada-BE'!$G$44*F91*G91*0.717*0.001</f>
        <v>0</v>
      </c>
      <c r="I91" s="52">
        <f t="shared" si="5"/>
        <v>0</v>
      </c>
      <c r="J91" s="2"/>
    </row>
    <row r="92" spans="2:10" ht="26.5" thickBot="1" x14ac:dyDescent="0.35">
      <c r="B92" s="580" t="str">
        <f>'III. Datos Entrada-BE'!B123</f>
        <v>Toros (pastoreo) 
Bulls (grazing)</v>
      </c>
      <c r="C92" s="682">
        <f>'III. Datos Entrada-BE'!$F$91</f>
        <v>0</v>
      </c>
      <c r="D92" s="682">
        <f>'III. Datos Entrada-BE'!F200</f>
        <v>0</v>
      </c>
      <c r="E92" s="683">
        <f>'III. Datos Entrada-BE'!$D$107</f>
        <v>3.87</v>
      </c>
      <c r="F92" s="682">
        <f>'III. Datos Entrada-BE'!$C$178</f>
        <v>0</v>
      </c>
      <c r="G92" s="682">
        <f>'III. Datos Entrada-BE'!$C$123</f>
        <v>0.13</v>
      </c>
      <c r="H92" s="675">
        <f>C92*D92*E92*'III. Datos Entrada-BE'!$G$44*F92*G92*0.717*0.001</f>
        <v>0</v>
      </c>
      <c r="I92" s="52">
        <f t="shared" si="5"/>
        <v>0</v>
      </c>
      <c r="J92" s="2"/>
    </row>
    <row r="93" spans="2:10" ht="52.5" thickBot="1" x14ac:dyDescent="0.35">
      <c r="B93" s="580" t="str">
        <f>'III. Datos Entrada-BE'!B124</f>
        <v>Terneros (en forraje, en pastos/pastizales) 
Calves (on forage, in pasture/rangeland)</v>
      </c>
      <c r="C93" s="682">
        <f>'III. Datos Entrada-BE'!$G$91</f>
        <v>0</v>
      </c>
      <c r="D93" s="682">
        <f>'III. Datos Entrada-BE'!G200</f>
        <v>0</v>
      </c>
      <c r="E93" s="683">
        <f>'III. Datos Entrada-BE'!$D$108</f>
        <v>1.25</v>
      </c>
      <c r="F93" s="682">
        <f>'III. Datos Entrada-BE'!$C$178</f>
        <v>0</v>
      </c>
      <c r="G93" s="682">
        <f>'III. Datos Entrada-BE'!$C$124</f>
        <v>0.13</v>
      </c>
      <c r="H93" s="675">
        <f>C93*D93*E93*'III. Datos Entrada-BE'!$G$44*F93*G93*0.717*0.001</f>
        <v>0</v>
      </c>
      <c r="I93" s="52">
        <f t="shared" si="5"/>
        <v>0</v>
      </c>
      <c r="J93" s="2"/>
    </row>
    <row r="94" spans="2:10" ht="52.5" thickBot="1" x14ac:dyDescent="0.35">
      <c r="B94" s="580" t="str">
        <f>'III. Datos Entrada-BE'!B125</f>
        <v>Terneros (en lechero, en pastos/pastizales) 
Calves (on milk, in pasture/rangeland)</v>
      </c>
      <c r="C94" s="682">
        <f>'III. Datos Entrada-BE'!$H$91</f>
        <v>0</v>
      </c>
      <c r="D94" s="682">
        <f>'III. Datos Entrada-BE'!H200</f>
        <v>0</v>
      </c>
      <c r="E94" s="683">
        <f>'III. Datos Entrada-BE'!$D$109</f>
        <v>0.52</v>
      </c>
      <c r="F94" s="682">
        <f>'III. Datos Entrada-BE'!$C$178</f>
        <v>0</v>
      </c>
      <c r="G94" s="682">
        <f>'III. Datos Entrada-BE'!$C$125</f>
        <v>0.13</v>
      </c>
      <c r="H94" s="675">
        <f>C94*D94*E94*'III. Datos Entrada-BE'!$G$44*F94*G94*0.717*0.001</f>
        <v>0</v>
      </c>
      <c r="I94" s="52">
        <f t="shared" si="5"/>
        <v>0</v>
      </c>
      <c r="J94" s="2"/>
    </row>
    <row r="95" spans="2:10" ht="52.5" thickBot="1" x14ac:dyDescent="0.35">
      <c r="B95" s="580" t="str">
        <f>'III. Datos Entrada-BE'!B126</f>
        <v>Novillas y novillos (en pastos/pastizales)
Heifers and Steers (in pasture/rangeland)</v>
      </c>
      <c r="C95" s="682">
        <f>'III. Datos Entrada-BE'!$I$91</f>
        <v>0</v>
      </c>
      <c r="D95" s="682">
        <f>'III. Datos Entrada-BE'!I200</f>
        <v>0</v>
      </c>
      <c r="E95" s="683">
        <f>'III. Datos Entrada-BE'!$D$110</f>
        <v>2.86</v>
      </c>
      <c r="F95" s="682">
        <f>'III. Datos Entrada-BE'!$C$178</f>
        <v>0</v>
      </c>
      <c r="G95" s="682">
        <f>'III. Datos Entrada-BE'!$C$126</f>
        <v>0.17</v>
      </c>
      <c r="H95" s="675">
        <f>C95*D95*E95*'III. Datos Entrada-BE'!$G$44*F95*G95*0.717*0.001</f>
        <v>0</v>
      </c>
      <c r="I95" s="52">
        <f t="shared" si="5"/>
        <v>0</v>
      </c>
      <c r="J95" s="2"/>
    </row>
    <row r="96" spans="2:10" ht="26.5" thickBot="1" x14ac:dyDescent="0.35">
      <c r="B96" s="580" t="str">
        <f>'III. Datos Entrada-BE'!B127</f>
        <v>Vacas (en pastos/pastizales) 
Cows (in pasture/rangeland)</v>
      </c>
      <c r="C96" s="682">
        <f>'III. Datos Entrada-BE'!$J$91</f>
        <v>0</v>
      </c>
      <c r="D96" s="682">
        <f>'III. Datos Entrada-BE'!J200</f>
        <v>0</v>
      </c>
      <c r="E96" s="683">
        <f>'III. Datos Entrada-BE'!$D$111</f>
        <v>3.55</v>
      </c>
      <c r="F96" s="682">
        <f>'III. Datos Entrada-BE'!$C$178</f>
        <v>0</v>
      </c>
      <c r="G96" s="682">
        <f>'III. Datos Entrada-BE'!$C$127</f>
        <v>0.188</v>
      </c>
      <c r="H96" s="675">
        <f>C96*D96*E96*'III. Datos Entrada-BE'!$G$44*F96*G96*0.717*0.001</f>
        <v>0</v>
      </c>
      <c r="I96" s="52">
        <f t="shared" si="5"/>
        <v>0</v>
      </c>
      <c r="J96" s="2"/>
    </row>
    <row r="97" spans="2:10" ht="26.5" thickBot="1" x14ac:dyDescent="0.35">
      <c r="B97" s="580" t="str">
        <f>'III. Datos Entrada-BE'!B128</f>
        <v>Cerdos de vivero 
Nursery swine</v>
      </c>
      <c r="C97" s="682">
        <f>'III. Datos Entrada-BE'!$K$91</f>
        <v>0</v>
      </c>
      <c r="D97" s="682">
        <f>'III. Datos Entrada-BE'!K200</f>
        <v>0</v>
      </c>
      <c r="E97" s="683">
        <f>'III. Datos Entrada-BE'!$D$112</f>
        <v>0.16600000000000001</v>
      </c>
      <c r="F97" s="682">
        <f>'III. Datos Entrada-BE'!$C$178</f>
        <v>0</v>
      </c>
      <c r="G97" s="682">
        <f>'III. Datos Entrada-BE'!$C$128</f>
        <v>0.28999999999999998</v>
      </c>
      <c r="H97" s="675">
        <f>C97*D97*E97*'III. Datos Entrada-BE'!$G$44*F97*G97*0.717*0.001</f>
        <v>0</v>
      </c>
      <c r="I97" s="52">
        <f t="shared" si="5"/>
        <v>0</v>
      </c>
      <c r="J97" s="2"/>
    </row>
    <row r="98" spans="2:10" ht="26.5" thickBot="1" x14ac:dyDescent="0.35">
      <c r="B98" s="581" t="str">
        <f>'III. Datos Entrada-BE'!B129</f>
        <v>Cerdos en crecimiento 
Growing swine</v>
      </c>
      <c r="C98" s="582">
        <f>'III. Datos Entrada-BE'!$L$91</f>
        <v>0</v>
      </c>
      <c r="D98" s="582">
        <f>'III. Datos Entrada-BE'!L200</f>
        <v>0</v>
      </c>
      <c r="E98" s="583">
        <f>'III. Datos Entrada-BE'!$D$113</f>
        <v>0.40500000000000003</v>
      </c>
      <c r="F98" s="582">
        <f>'III. Datos Entrada-BE'!$C$178</f>
        <v>0</v>
      </c>
      <c r="G98" s="582">
        <f>'III. Datos Entrada-BE'!$C$129</f>
        <v>0.28999999999999998</v>
      </c>
      <c r="H98" s="576">
        <f>C98*D98*E98*'III. Datos Entrada-BE'!$G$44*F98*G98*0.717*0.001</f>
        <v>0</v>
      </c>
      <c r="I98" s="52">
        <f t="shared" si="5"/>
        <v>0</v>
      </c>
      <c r="J98" s="2"/>
    </row>
    <row r="99" spans="2:10" ht="13.5" thickBot="1" x14ac:dyDescent="0.35">
      <c r="B99" s="372" t="s">
        <v>185</v>
      </c>
      <c r="C99" s="228"/>
      <c r="D99" s="228"/>
      <c r="E99" s="228"/>
      <c r="F99" s="228"/>
      <c r="G99" s="229"/>
      <c r="H99" s="66">
        <f>SUM(H89:H98)</f>
        <v>0</v>
      </c>
      <c r="I99" s="54">
        <f>SUM(I89:I98)</f>
        <v>0</v>
      </c>
      <c r="J99" s="2"/>
    </row>
    <row r="100" spans="2:10" ht="13.5" thickBot="1" x14ac:dyDescent="0.35">
      <c r="B100" s="26"/>
      <c r="H100" s="8"/>
      <c r="I100" s="8"/>
      <c r="J100" s="2"/>
    </row>
    <row r="101" spans="2:10" ht="13.5" thickBot="1" x14ac:dyDescent="0.35">
      <c r="B101" s="371">
        <f>'III. Datos Entrada-BE'!C142</f>
        <v>0</v>
      </c>
      <c r="H101" s="3"/>
      <c r="J101" s="2"/>
    </row>
    <row r="102" spans="2:10" s="22" customFormat="1" ht="27.5" thickBot="1" x14ac:dyDescent="0.45">
      <c r="B102" s="247" t="s">
        <v>935</v>
      </c>
      <c r="C102" s="71" t="s">
        <v>178</v>
      </c>
      <c r="D102" s="71" t="s">
        <v>179</v>
      </c>
      <c r="E102" s="71" t="s">
        <v>180</v>
      </c>
      <c r="F102" s="71" t="s">
        <v>181</v>
      </c>
      <c r="G102" s="71" t="s">
        <v>182</v>
      </c>
      <c r="H102" s="61" t="s">
        <v>183</v>
      </c>
      <c r="I102" s="72" t="s">
        <v>184</v>
      </c>
    </row>
    <row r="103" spans="2:10" ht="52.5" thickBot="1" x14ac:dyDescent="0.35">
      <c r="B103" s="338" t="str">
        <f>'III. Datos Entrada-BE'!B120</f>
        <v>Vacas lecheras y no lecheras (en sistemas intensivos) 
Dairy and non-milking dairy cows (in intensive systems)</v>
      </c>
      <c r="C103" s="224">
        <f>'III. Datos Entrada-BE'!$C$91</f>
        <v>0</v>
      </c>
      <c r="D103" s="224">
        <f>'III. Datos Entrada-BE'!C201</f>
        <v>0</v>
      </c>
      <c r="E103" s="225">
        <f>'V. BE CH4-AS'!$C$20</f>
        <v>3.91</v>
      </c>
      <c r="F103" s="224">
        <f>'III. Datos Entrada-BE'!$C$179</f>
        <v>0</v>
      </c>
      <c r="G103" s="224">
        <f>'III. Datos Entrada-BE'!$C$120</f>
        <v>0.13</v>
      </c>
      <c r="H103" s="50">
        <f>C103*D103*E103*'III. Datos Entrada-BE'!$G$44*F103*G103*0.68*0.001</f>
        <v>0</v>
      </c>
      <c r="I103" s="52">
        <f t="shared" ref="I103:I112" si="6">H103*PCG</f>
        <v>0</v>
      </c>
      <c r="J103" s="2"/>
    </row>
    <row r="104" spans="2:10" ht="52.5" thickBot="1" x14ac:dyDescent="0.35">
      <c r="B104" s="580" t="str">
        <f>'III. Datos Entrada-BE'!B121</f>
        <v>Novillos/Novillos (en sistemas intensivos) 
Heifers/Steers (in intensive systems)</v>
      </c>
      <c r="C104" s="682">
        <f>'III. Datos Entrada-BE'!$D$91</f>
        <v>0</v>
      </c>
      <c r="D104" s="682">
        <f>'III. Datos Entrada-BE'!D201</f>
        <v>0</v>
      </c>
      <c r="E104" s="683">
        <f>'V. BE CH4-AS'!$C$68</f>
        <v>2.86</v>
      </c>
      <c r="F104" s="682">
        <f>'III. Datos Entrada-BE'!$C$179</f>
        <v>0</v>
      </c>
      <c r="G104" s="682">
        <f>'III. Datos Entrada-BE'!$C$121</f>
        <v>0.17</v>
      </c>
      <c r="H104" s="675">
        <f>C104*D104*E104*'III. Datos Entrada-BE'!$G$44*F104*G104*0.68*0.001</f>
        <v>0</v>
      </c>
      <c r="I104" s="52">
        <f t="shared" si="6"/>
        <v>0</v>
      </c>
      <c r="J104" s="2"/>
    </row>
    <row r="105" spans="2:10" ht="65.5" thickBot="1" x14ac:dyDescent="0.35">
      <c r="B105" s="580" t="str">
        <f>'III. Datos Entrada-BE'!B122</f>
        <v>Novillas de reemplazo/crecimiento (en pastos o pastizales) 
Replacement/growing heifers (in pasture or rangeland)</v>
      </c>
      <c r="C105" s="682">
        <f>'III. Datos Entrada-BE'!$E$91</f>
        <v>0</v>
      </c>
      <c r="D105" s="682">
        <f>'III. Datos Entrada-BE'!E201</f>
        <v>0</v>
      </c>
      <c r="E105" s="683">
        <f>'III. Datos Entrada-BE'!$D$106</f>
        <v>2.4900000000000002</v>
      </c>
      <c r="F105" s="682">
        <f>'III. Datos Entrada-BE'!$C$179</f>
        <v>0</v>
      </c>
      <c r="G105" s="682">
        <f>'III. Datos Entrada-BE'!$C$122</f>
        <v>0.13</v>
      </c>
      <c r="H105" s="675">
        <f>C105*D105*E105*'III. Datos Entrada-BE'!$G$44*F105*G105*0.68*0.001</f>
        <v>0</v>
      </c>
      <c r="I105" s="52">
        <f t="shared" si="6"/>
        <v>0</v>
      </c>
      <c r="J105" s="2"/>
    </row>
    <row r="106" spans="2:10" ht="26.5" thickBot="1" x14ac:dyDescent="0.35">
      <c r="B106" s="580" t="str">
        <f>'III. Datos Entrada-BE'!B123</f>
        <v>Toros (pastoreo) 
Bulls (grazing)</v>
      </c>
      <c r="C106" s="682">
        <f>'III. Datos Entrada-BE'!$F$91</f>
        <v>0</v>
      </c>
      <c r="D106" s="682">
        <f>'III. Datos Entrada-BE'!F201</f>
        <v>0</v>
      </c>
      <c r="E106" s="683">
        <f>'III. Datos Entrada-BE'!$D$107</f>
        <v>3.87</v>
      </c>
      <c r="F106" s="682">
        <f>'III. Datos Entrada-BE'!$C$179</f>
        <v>0</v>
      </c>
      <c r="G106" s="682">
        <f>'III. Datos Entrada-BE'!$C$123</f>
        <v>0.13</v>
      </c>
      <c r="H106" s="675">
        <f>C106*D106*E106*'III. Datos Entrada-BE'!$G$44*F106*G106*0.68*0.001</f>
        <v>0</v>
      </c>
      <c r="I106" s="52">
        <f t="shared" si="6"/>
        <v>0</v>
      </c>
      <c r="J106" s="2"/>
    </row>
    <row r="107" spans="2:10" ht="52.5" thickBot="1" x14ac:dyDescent="0.35">
      <c r="B107" s="580" t="str">
        <f>'III. Datos Entrada-BE'!B124</f>
        <v>Terneros (en forraje, en pastos/pastizales) 
Calves (on forage, in pasture/rangeland)</v>
      </c>
      <c r="C107" s="682">
        <f>'III. Datos Entrada-BE'!$G$91</f>
        <v>0</v>
      </c>
      <c r="D107" s="682">
        <f>'III. Datos Entrada-BE'!G201</f>
        <v>0</v>
      </c>
      <c r="E107" s="683">
        <f>'III. Datos Entrada-BE'!$D$108</f>
        <v>1.25</v>
      </c>
      <c r="F107" s="682">
        <f>'III. Datos Entrada-BE'!$C$179</f>
        <v>0</v>
      </c>
      <c r="G107" s="682">
        <f>'III. Datos Entrada-BE'!$C$124</f>
        <v>0.13</v>
      </c>
      <c r="H107" s="675">
        <f>C107*D107*E107*'III. Datos Entrada-BE'!$G$44*F107*G107*0.68*0.001</f>
        <v>0</v>
      </c>
      <c r="I107" s="52">
        <f t="shared" si="6"/>
        <v>0</v>
      </c>
      <c r="J107" s="2"/>
    </row>
    <row r="108" spans="2:10" ht="52.5" thickBot="1" x14ac:dyDescent="0.35">
      <c r="B108" s="580" t="str">
        <f>'III. Datos Entrada-BE'!B125</f>
        <v>Terneros (en lechero, en pastos/pastizales) 
Calves (on milk, in pasture/rangeland)</v>
      </c>
      <c r="C108" s="682">
        <f>'III. Datos Entrada-BE'!$H$91</f>
        <v>0</v>
      </c>
      <c r="D108" s="682">
        <f>'III. Datos Entrada-BE'!H201</f>
        <v>0</v>
      </c>
      <c r="E108" s="683">
        <f>'III. Datos Entrada-BE'!$D$109</f>
        <v>0.52</v>
      </c>
      <c r="F108" s="682">
        <f>'III. Datos Entrada-BE'!$C$179</f>
        <v>0</v>
      </c>
      <c r="G108" s="682">
        <f>'III. Datos Entrada-BE'!$C$125</f>
        <v>0.13</v>
      </c>
      <c r="H108" s="675">
        <f>C108*D108*E108*'III. Datos Entrada-BE'!$G$44*F108*G108*0.68*0.001</f>
        <v>0</v>
      </c>
      <c r="I108" s="52">
        <f t="shared" si="6"/>
        <v>0</v>
      </c>
      <c r="J108" s="2"/>
    </row>
    <row r="109" spans="2:10" ht="52.5" thickBot="1" x14ac:dyDescent="0.35">
      <c r="B109" s="580" t="str">
        <f>'III. Datos Entrada-BE'!B126</f>
        <v>Novillas y novillos (en pastos/pastizales)
Heifers and Steers (in pasture/rangeland)</v>
      </c>
      <c r="C109" s="682">
        <f>'III. Datos Entrada-BE'!$I$91</f>
        <v>0</v>
      </c>
      <c r="D109" s="682">
        <f>'III. Datos Entrada-BE'!I201</f>
        <v>0</v>
      </c>
      <c r="E109" s="683">
        <f>'III. Datos Entrada-BE'!$D$110</f>
        <v>2.86</v>
      </c>
      <c r="F109" s="682">
        <f>'III. Datos Entrada-BE'!$C$179</f>
        <v>0</v>
      </c>
      <c r="G109" s="682">
        <f>'III. Datos Entrada-BE'!$C$126</f>
        <v>0.17</v>
      </c>
      <c r="H109" s="675">
        <f>C109*D109*E109*'III. Datos Entrada-BE'!$G$44*F109*G109*0.68*0.001</f>
        <v>0</v>
      </c>
      <c r="I109" s="52">
        <f t="shared" si="6"/>
        <v>0</v>
      </c>
      <c r="J109" s="2"/>
    </row>
    <row r="110" spans="2:10" ht="26.5" thickBot="1" x14ac:dyDescent="0.35">
      <c r="B110" s="580" t="str">
        <f>'III. Datos Entrada-BE'!B127</f>
        <v>Vacas (en pastos/pastizales) 
Cows (in pasture/rangeland)</v>
      </c>
      <c r="C110" s="682">
        <f>'III. Datos Entrada-BE'!$J$91</f>
        <v>0</v>
      </c>
      <c r="D110" s="682">
        <f>'III. Datos Entrada-BE'!J201</f>
        <v>0</v>
      </c>
      <c r="E110" s="683">
        <f>'III. Datos Entrada-BE'!$D$111</f>
        <v>3.55</v>
      </c>
      <c r="F110" s="682">
        <f>'III. Datos Entrada-BE'!$C$179</f>
        <v>0</v>
      </c>
      <c r="G110" s="682">
        <f>'III. Datos Entrada-BE'!$C$127</f>
        <v>0.188</v>
      </c>
      <c r="H110" s="675">
        <f>C110*D110*E110*'III. Datos Entrada-BE'!$G$44*F110*G110*0.68*0.001</f>
        <v>0</v>
      </c>
      <c r="I110" s="52">
        <f t="shared" si="6"/>
        <v>0</v>
      </c>
      <c r="J110" s="2"/>
    </row>
    <row r="111" spans="2:10" ht="26.5" thickBot="1" x14ac:dyDescent="0.35">
      <c r="B111" s="580" t="str">
        <f>'III. Datos Entrada-BE'!B128</f>
        <v>Cerdos de vivero 
Nursery swine</v>
      </c>
      <c r="C111" s="682">
        <f>'III. Datos Entrada-BE'!$K$91</f>
        <v>0</v>
      </c>
      <c r="D111" s="682">
        <f>'III. Datos Entrada-BE'!K201</f>
        <v>0</v>
      </c>
      <c r="E111" s="683">
        <f>'III. Datos Entrada-BE'!$D$112</f>
        <v>0.16600000000000001</v>
      </c>
      <c r="F111" s="682">
        <f>'III. Datos Entrada-BE'!$C$179</f>
        <v>0</v>
      </c>
      <c r="G111" s="682">
        <f>'III. Datos Entrada-BE'!$C$128</f>
        <v>0.28999999999999998</v>
      </c>
      <c r="H111" s="675">
        <f>C111*D111*E111*'III. Datos Entrada-BE'!$G$44*F111*G111*0.68*0.001</f>
        <v>0</v>
      </c>
      <c r="I111" s="52">
        <f t="shared" si="6"/>
        <v>0</v>
      </c>
      <c r="J111" s="2"/>
    </row>
    <row r="112" spans="2:10" ht="26.5" thickBot="1" x14ac:dyDescent="0.35">
      <c r="B112" s="581" t="str">
        <f>'III. Datos Entrada-BE'!B129</f>
        <v>Cerdos en crecimiento 
Growing swine</v>
      </c>
      <c r="C112" s="582">
        <f>'III. Datos Entrada-BE'!$L$91</f>
        <v>0</v>
      </c>
      <c r="D112" s="582">
        <f>'III. Datos Entrada-BE'!L201</f>
        <v>0</v>
      </c>
      <c r="E112" s="583">
        <f>'III. Datos Entrada-BE'!$D$113</f>
        <v>0.40500000000000003</v>
      </c>
      <c r="F112" s="582">
        <f>'III. Datos Entrada-BE'!$C$179</f>
        <v>0</v>
      </c>
      <c r="G112" s="582">
        <f>'III. Datos Entrada-BE'!$C$129</f>
        <v>0.28999999999999998</v>
      </c>
      <c r="H112" s="576">
        <f>C112*D112*E112*'III. Datos Entrada-BE'!$G$44*F112*G112*0.68*0.001</f>
        <v>0</v>
      </c>
      <c r="I112" s="52">
        <f t="shared" si="6"/>
        <v>0</v>
      </c>
      <c r="J112" s="2"/>
    </row>
    <row r="113" spans="2:10" ht="13.5" thickBot="1" x14ac:dyDescent="0.35">
      <c r="B113" s="372" t="s">
        <v>185</v>
      </c>
      <c r="C113" s="228"/>
      <c r="D113" s="228"/>
      <c r="E113" s="228"/>
      <c r="F113" s="228"/>
      <c r="G113" s="229"/>
      <c r="H113" s="66">
        <f>SUM(H103:H112)</f>
        <v>0</v>
      </c>
      <c r="I113" s="54">
        <f>SUM(I103:I112)</f>
        <v>0</v>
      </c>
      <c r="J113" s="2"/>
    </row>
    <row r="114" spans="2:10" ht="13.5" thickBot="1" x14ac:dyDescent="0.35">
      <c r="B114" s="26"/>
      <c r="H114" s="8"/>
      <c r="I114" s="8"/>
      <c r="J114" s="2"/>
    </row>
    <row r="115" spans="2:10" ht="13.5" thickBot="1" x14ac:dyDescent="0.35">
      <c r="B115" s="371">
        <f>'III. Datos Entrada-BE'!C143</f>
        <v>0</v>
      </c>
      <c r="H115" s="3"/>
      <c r="J115" s="2"/>
    </row>
    <row r="116" spans="2:10" s="22" customFormat="1" ht="27.5" thickBot="1" x14ac:dyDescent="0.45">
      <c r="B116" s="247" t="s">
        <v>935</v>
      </c>
      <c r="C116" s="71" t="s">
        <v>178</v>
      </c>
      <c r="D116" s="71" t="s">
        <v>179</v>
      </c>
      <c r="E116" s="71" t="s">
        <v>180</v>
      </c>
      <c r="F116" s="71" t="s">
        <v>181</v>
      </c>
      <c r="G116" s="71" t="s">
        <v>182</v>
      </c>
      <c r="H116" s="61" t="s">
        <v>183</v>
      </c>
      <c r="I116" s="72" t="s">
        <v>184</v>
      </c>
    </row>
    <row r="117" spans="2:10" ht="52.5" thickBot="1" x14ac:dyDescent="0.35">
      <c r="B117" s="338" t="str">
        <f>'III. Datos Entrada-BE'!B120</f>
        <v>Vacas lecheras y no lecheras (en sistemas intensivos) 
Dairy and non-milking dairy cows (in intensive systems)</v>
      </c>
      <c r="C117" s="224">
        <f>'III. Datos Entrada-BE'!$C$91</f>
        <v>0</v>
      </c>
      <c r="D117" s="224">
        <f>'III. Datos Entrada-BE'!C202</f>
        <v>0</v>
      </c>
      <c r="E117" s="225">
        <f>'V. BE CH4-AS'!$C$20</f>
        <v>3.91</v>
      </c>
      <c r="F117" s="224">
        <f>'III. Datos Entrada-BE'!$C$180</f>
        <v>0</v>
      </c>
      <c r="G117" s="224">
        <f>'III. Datos Entrada-BE'!$C$120</f>
        <v>0.13</v>
      </c>
      <c r="H117" s="50">
        <f>C117*D117*E117*'III. Datos Entrada-BE'!$G$44*F117*G117*0.717*0.001</f>
        <v>0</v>
      </c>
      <c r="I117" s="52">
        <f t="shared" ref="I117:I126" si="7">H117*PCG</f>
        <v>0</v>
      </c>
      <c r="J117" s="2"/>
    </row>
    <row r="118" spans="2:10" ht="52.5" thickBot="1" x14ac:dyDescent="0.35">
      <c r="B118" s="580" t="str">
        <f>'III. Datos Entrada-BE'!B121</f>
        <v>Novillos/Novillos (en sistemas intensivos) 
Heifers/Steers (in intensive systems)</v>
      </c>
      <c r="C118" s="682">
        <f>'III. Datos Entrada-BE'!$D$91</f>
        <v>0</v>
      </c>
      <c r="D118" s="682">
        <f>'III. Datos Entrada-BE'!D202</f>
        <v>0</v>
      </c>
      <c r="E118" s="683">
        <f>'V. BE CH4-AS'!$C$68</f>
        <v>2.86</v>
      </c>
      <c r="F118" s="682">
        <f>'III. Datos Entrada-BE'!$C$180</f>
        <v>0</v>
      </c>
      <c r="G118" s="682">
        <f>'III. Datos Entrada-BE'!$C$121</f>
        <v>0.17</v>
      </c>
      <c r="H118" s="675">
        <f>C118*D118*E118*'III. Datos Entrada-BE'!$G$44*F118*G118*0.717*0.001</f>
        <v>0</v>
      </c>
      <c r="I118" s="52">
        <f t="shared" si="7"/>
        <v>0</v>
      </c>
      <c r="J118" s="2"/>
    </row>
    <row r="119" spans="2:10" ht="65.5" thickBot="1" x14ac:dyDescent="0.35">
      <c r="B119" s="580" t="str">
        <f>'III. Datos Entrada-BE'!B122</f>
        <v>Novillas de reemplazo/crecimiento (en pastos o pastizales) 
Replacement/growing heifers (in pasture or rangeland)</v>
      </c>
      <c r="C119" s="682">
        <f>'III. Datos Entrada-BE'!$E$91</f>
        <v>0</v>
      </c>
      <c r="D119" s="682">
        <f>'III. Datos Entrada-BE'!E202</f>
        <v>0</v>
      </c>
      <c r="E119" s="683">
        <f>'III. Datos Entrada-BE'!$D$106</f>
        <v>2.4900000000000002</v>
      </c>
      <c r="F119" s="682">
        <f>'III. Datos Entrada-BE'!$C$180</f>
        <v>0</v>
      </c>
      <c r="G119" s="682">
        <f>'III. Datos Entrada-BE'!$C$122</f>
        <v>0.13</v>
      </c>
      <c r="H119" s="675">
        <f>C119*D119*E119*'III. Datos Entrada-BE'!$G$44*F119*G119*0.717*0.001</f>
        <v>0</v>
      </c>
      <c r="I119" s="52">
        <f t="shared" si="7"/>
        <v>0</v>
      </c>
      <c r="J119" s="2"/>
    </row>
    <row r="120" spans="2:10" ht="26.5" thickBot="1" x14ac:dyDescent="0.35">
      <c r="B120" s="580" t="str">
        <f>'III. Datos Entrada-BE'!B123</f>
        <v>Toros (pastoreo) 
Bulls (grazing)</v>
      </c>
      <c r="C120" s="682">
        <f>'III. Datos Entrada-BE'!$F$91</f>
        <v>0</v>
      </c>
      <c r="D120" s="682">
        <f>'III. Datos Entrada-BE'!F202</f>
        <v>0</v>
      </c>
      <c r="E120" s="683">
        <f>'III. Datos Entrada-BE'!$D$107</f>
        <v>3.87</v>
      </c>
      <c r="F120" s="682">
        <f>'III. Datos Entrada-BE'!$C$180</f>
        <v>0</v>
      </c>
      <c r="G120" s="682">
        <f>'III. Datos Entrada-BE'!$C$123</f>
        <v>0.13</v>
      </c>
      <c r="H120" s="675">
        <f>C120*D120*E120*'III. Datos Entrada-BE'!$G$44*F120*G120*0.717*0.001</f>
        <v>0</v>
      </c>
      <c r="I120" s="52">
        <f t="shared" si="7"/>
        <v>0</v>
      </c>
      <c r="J120" s="2"/>
    </row>
    <row r="121" spans="2:10" ht="52.5" thickBot="1" x14ac:dyDescent="0.35">
      <c r="B121" s="580" t="str">
        <f>'III. Datos Entrada-BE'!B124</f>
        <v>Terneros (en forraje, en pastos/pastizales) 
Calves (on forage, in pasture/rangeland)</v>
      </c>
      <c r="C121" s="682">
        <f>'III. Datos Entrada-BE'!$G$91</f>
        <v>0</v>
      </c>
      <c r="D121" s="682">
        <f>'III. Datos Entrada-BE'!G202</f>
        <v>0</v>
      </c>
      <c r="E121" s="683">
        <f>'III. Datos Entrada-BE'!$D$108</f>
        <v>1.25</v>
      </c>
      <c r="F121" s="682">
        <f>'III. Datos Entrada-BE'!$C$180</f>
        <v>0</v>
      </c>
      <c r="G121" s="682">
        <f>'III. Datos Entrada-BE'!$C$124</f>
        <v>0.13</v>
      </c>
      <c r="H121" s="675">
        <f>C121*D121*E121*'III. Datos Entrada-BE'!$G$44*F121*G121*0.717*0.001</f>
        <v>0</v>
      </c>
      <c r="I121" s="52">
        <f t="shared" si="7"/>
        <v>0</v>
      </c>
      <c r="J121" s="2"/>
    </row>
    <row r="122" spans="2:10" ht="52.5" thickBot="1" x14ac:dyDescent="0.35">
      <c r="B122" s="580" t="str">
        <f>'III. Datos Entrada-BE'!B125</f>
        <v>Terneros (en lechero, en pastos/pastizales) 
Calves (on milk, in pasture/rangeland)</v>
      </c>
      <c r="C122" s="682">
        <f>'III. Datos Entrada-BE'!$H$91</f>
        <v>0</v>
      </c>
      <c r="D122" s="682">
        <f>'III. Datos Entrada-BE'!H202</f>
        <v>0</v>
      </c>
      <c r="E122" s="683">
        <f>'III. Datos Entrada-BE'!$D$109</f>
        <v>0.52</v>
      </c>
      <c r="F122" s="682">
        <f>'III. Datos Entrada-BE'!$C$180</f>
        <v>0</v>
      </c>
      <c r="G122" s="682">
        <f>'III. Datos Entrada-BE'!$C$125</f>
        <v>0.13</v>
      </c>
      <c r="H122" s="675">
        <f>C122*D122*E122*'III. Datos Entrada-BE'!$G$44*F122*G122*0.717*0.001</f>
        <v>0</v>
      </c>
      <c r="I122" s="52">
        <f t="shared" si="7"/>
        <v>0</v>
      </c>
      <c r="J122" s="2"/>
    </row>
    <row r="123" spans="2:10" ht="52.5" thickBot="1" x14ac:dyDescent="0.35">
      <c r="B123" s="580" t="str">
        <f>'III. Datos Entrada-BE'!B126</f>
        <v>Novillas y novillos (en pastos/pastizales)
Heifers and Steers (in pasture/rangeland)</v>
      </c>
      <c r="C123" s="682">
        <f>'III. Datos Entrada-BE'!$I$91</f>
        <v>0</v>
      </c>
      <c r="D123" s="682">
        <f>'III. Datos Entrada-BE'!I202</f>
        <v>0</v>
      </c>
      <c r="E123" s="683">
        <f>'III. Datos Entrada-BE'!$D$110</f>
        <v>2.86</v>
      </c>
      <c r="F123" s="682">
        <f>'III. Datos Entrada-BE'!$C$180</f>
        <v>0</v>
      </c>
      <c r="G123" s="682">
        <f>'III. Datos Entrada-BE'!$C$126</f>
        <v>0.17</v>
      </c>
      <c r="H123" s="675">
        <f>C123*D123*E123*'III. Datos Entrada-BE'!$G$44*F123*G123*0.717*0.001</f>
        <v>0</v>
      </c>
      <c r="I123" s="52">
        <f t="shared" si="7"/>
        <v>0</v>
      </c>
      <c r="J123" s="2"/>
    </row>
    <row r="124" spans="2:10" ht="26.5" thickBot="1" x14ac:dyDescent="0.35">
      <c r="B124" s="580" t="str">
        <f>'III. Datos Entrada-BE'!B127</f>
        <v>Vacas (en pastos/pastizales) 
Cows (in pasture/rangeland)</v>
      </c>
      <c r="C124" s="682">
        <f>'III. Datos Entrada-BE'!$J$91</f>
        <v>0</v>
      </c>
      <c r="D124" s="682">
        <f>'III. Datos Entrada-BE'!J202</f>
        <v>0</v>
      </c>
      <c r="E124" s="683">
        <f>'III. Datos Entrada-BE'!$D$111</f>
        <v>3.55</v>
      </c>
      <c r="F124" s="682">
        <f>'III. Datos Entrada-BE'!$C$180</f>
        <v>0</v>
      </c>
      <c r="G124" s="682">
        <f>'III. Datos Entrada-BE'!$C$127</f>
        <v>0.188</v>
      </c>
      <c r="H124" s="675">
        <f>C124*D124*E124*'III. Datos Entrada-BE'!$G$44*F124*G124*0.717*0.001</f>
        <v>0</v>
      </c>
      <c r="I124" s="52">
        <f t="shared" si="7"/>
        <v>0</v>
      </c>
      <c r="J124" s="2"/>
    </row>
    <row r="125" spans="2:10" ht="26.5" thickBot="1" x14ac:dyDescent="0.35">
      <c r="B125" s="580" t="str">
        <f>'III. Datos Entrada-BE'!B128</f>
        <v>Cerdos de vivero 
Nursery swine</v>
      </c>
      <c r="C125" s="682">
        <f>'III. Datos Entrada-BE'!$K$91</f>
        <v>0</v>
      </c>
      <c r="D125" s="682">
        <f>'III. Datos Entrada-BE'!K202</f>
        <v>0</v>
      </c>
      <c r="E125" s="683">
        <f>'III. Datos Entrada-BE'!$D$112</f>
        <v>0.16600000000000001</v>
      </c>
      <c r="F125" s="682">
        <f>'III. Datos Entrada-BE'!$C$180</f>
        <v>0</v>
      </c>
      <c r="G125" s="682">
        <f>'III. Datos Entrada-BE'!$C$128</f>
        <v>0.28999999999999998</v>
      </c>
      <c r="H125" s="675">
        <f>C125*D125*E125*'III. Datos Entrada-BE'!$G$44*F125*G125*0.717*0.001</f>
        <v>0</v>
      </c>
      <c r="I125" s="52">
        <f t="shared" si="7"/>
        <v>0</v>
      </c>
      <c r="J125" s="2"/>
    </row>
    <row r="126" spans="2:10" ht="26.5" thickBot="1" x14ac:dyDescent="0.35">
      <c r="B126" s="581" t="str">
        <f>'III. Datos Entrada-BE'!B129</f>
        <v>Cerdos en crecimiento 
Growing swine</v>
      </c>
      <c r="C126" s="582">
        <f>'III. Datos Entrada-BE'!$L$91</f>
        <v>0</v>
      </c>
      <c r="D126" s="582">
        <f>'III. Datos Entrada-BE'!L202</f>
        <v>0</v>
      </c>
      <c r="E126" s="583">
        <f>'III. Datos Entrada-BE'!$D$113</f>
        <v>0.40500000000000003</v>
      </c>
      <c r="F126" s="582">
        <f>'III. Datos Entrada-BE'!$C$180</f>
        <v>0</v>
      </c>
      <c r="G126" s="582">
        <f>'III. Datos Entrada-BE'!$C$129</f>
        <v>0.28999999999999998</v>
      </c>
      <c r="H126" s="576">
        <f>C126*D126*E126*'III. Datos Entrada-BE'!$G$44*F126*G126*0.717*0.001</f>
        <v>0</v>
      </c>
      <c r="I126" s="52">
        <f t="shared" si="7"/>
        <v>0</v>
      </c>
      <c r="J126" s="2"/>
    </row>
    <row r="127" spans="2:10" ht="13.5" thickBot="1" x14ac:dyDescent="0.35">
      <c r="B127" s="372" t="s">
        <v>185</v>
      </c>
      <c r="C127" s="228"/>
      <c r="D127" s="228"/>
      <c r="E127" s="228"/>
      <c r="F127" s="228"/>
      <c r="G127" s="229"/>
      <c r="H127" s="66">
        <f>SUM(H117:H126)</f>
        <v>0</v>
      </c>
      <c r="I127" s="54">
        <f>SUM(I117:I126)</f>
        <v>0</v>
      </c>
      <c r="J127" s="2"/>
    </row>
    <row r="128" spans="2:10" ht="13.5" thickBot="1" x14ac:dyDescent="0.35">
      <c r="B128" s="26"/>
      <c r="H128" s="8"/>
      <c r="I128" s="8"/>
      <c r="J128" s="2"/>
    </row>
    <row r="129" spans="2:10" ht="13.5" thickBot="1" x14ac:dyDescent="0.35">
      <c r="B129" s="371">
        <f>'III. Datos Entrada-BE'!C144</f>
        <v>0</v>
      </c>
      <c r="H129" s="3"/>
      <c r="J129" s="2"/>
    </row>
    <row r="130" spans="2:10" s="22" customFormat="1" ht="27.5" thickBot="1" x14ac:dyDescent="0.45">
      <c r="B130" s="247" t="s">
        <v>935</v>
      </c>
      <c r="C130" s="71" t="s">
        <v>178</v>
      </c>
      <c r="D130" s="71" t="s">
        <v>179</v>
      </c>
      <c r="E130" s="71" t="s">
        <v>180</v>
      </c>
      <c r="F130" s="71" t="s">
        <v>181</v>
      </c>
      <c r="G130" s="71" t="s">
        <v>182</v>
      </c>
      <c r="H130" s="61" t="s">
        <v>183</v>
      </c>
      <c r="I130" s="72" t="s">
        <v>184</v>
      </c>
    </row>
    <row r="131" spans="2:10" ht="52.5" thickBot="1" x14ac:dyDescent="0.35">
      <c r="B131" s="338" t="str">
        <f>'III. Datos Entrada-BE'!B120</f>
        <v>Vacas lecheras y no lecheras (en sistemas intensivos) 
Dairy and non-milking dairy cows (in intensive systems)</v>
      </c>
      <c r="C131" s="224">
        <f>'III. Datos Entrada-BE'!$C$91</f>
        <v>0</v>
      </c>
      <c r="D131" s="224">
        <f>'III. Datos Entrada-BE'!C203</f>
        <v>0</v>
      </c>
      <c r="E131" s="225">
        <f>'V. BE CH4-AS'!$C$20</f>
        <v>3.91</v>
      </c>
      <c r="F131" s="224">
        <f>'III. Datos Entrada-BE'!$C$181</f>
        <v>0</v>
      </c>
      <c r="G131" s="224">
        <f>'III. Datos Entrada-BE'!$C$120</f>
        <v>0.13</v>
      </c>
      <c r="H131" s="50">
        <f>C131*D131*E131*'III. Datos Entrada-BE'!$G$44*F131*G131*0.717*0.001</f>
        <v>0</v>
      </c>
      <c r="I131" s="52">
        <f t="shared" ref="I131:I140" si="8">H131*PCG</f>
        <v>0</v>
      </c>
      <c r="J131" s="2"/>
    </row>
    <row r="132" spans="2:10" ht="52.5" thickBot="1" x14ac:dyDescent="0.35">
      <c r="B132" s="580" t="str">
        <f>'III. Datos Entrada-BE'!B121</f>
        <v>Novillos/Novillos (en sistemas intensivos) 
Heifers/Steers (in intensive systems)</v>
      </c>
      <c r="C132" s="682">
        <f>'III. Datos Entrada-BE'!$D$91</f>
        <v>0</v>
      </c>
      <c r="D132" s="682">
        <f>'III. Datos Entrada-BE'!D203</f>
        <v>0</v>
      </c>
      <c r="E132" s="683">
        <f>'V. BE CH4-AS'!$C$68</f>
        <v>2.86</v>
      </c>
      <c r="F132" s="682">
        <f>'III. Datos Entrada-BE'!$C$181</f>
        <v>0</v>
      </c>
      <c r="G132" s="682">
        <f>'III. Datos Entrada-BE'!$C$121</f>
        <v>0.17</v>
      </c>
      <c r="H132" s="675">
        <f>C132*D132*E132*'III. Datos Entrada-BE'!$G$44*F132*G132*0.717*0.001</f>
        <v>0</v>
      </c>
      <c r="I132" s="52">
        <f t="shared" si="8"/>
        <v>0</v>
      </c>
      <c r="J132" s="2"/>
    </row>
    <row r="133" spans="2:10" ht="65.5" thickBot="1" x14ac:dyDescent="0.35">
      <c r="B133" s="580" t="str">
        <f>'III. Datos Entrada-BE'!B122</f>
        <v>Novillas de reemplazo/crecimiento (en pastos o pastizales) 
Replacement/growing heifers (in pasture or rangeland)</v>
      </c>
      <c r="C133" s="682">
        <f>'III. Datos Entrada-BE'!$E$91</f>
        <v>0</v>
      </c>
      <c r="D133" s="682">
        <f>'III. Datos Entrada-BE'!E203</f>
        <v>0</v>
      </c>
      <c r="E133" s="683">
        <f>'III. Datos Entrada-BE'!$D$106</f>
        <v>2.4900000000000002</v>
      </c>
      <c r="F133" s="682">
        <f>'III. Datos Entrada-BE'!$C$181</f>
        <v>0</v>
      </c>
      <c r="G133" s="682">
        <f>'III. Datos Entrada-BE'!$C$122</f>
        <v>0.13</v>
      </c>
      <c r="H133" s="675">
        <f>C133*D133*E133*'III. Datos Entrada-BE'!$G$44*F133*G133*0.717*0.001</f>
        <v>0</v>
      </c>
      <c r="I133" s="52">
        <f t="shared" si="8"/>
        <v>0</v>
      </c>
      <c r="J133" s="2"/>
    </row>
    <row r="134" spans="2:10" ht="26.5" thickBot="1" x14ac:dyDescent="0.35">
      <c r="B134" s="580" t="str">
        <f>'III. Datos Entrada-BE'!B123</f>
        <v>Toros (pastoreo) 
Bulls (grazing)</v>
      </c>
      <c r="C134" s="682">
        <f>'III. Datos Entrada-BE'!$F$91</f>
        <v>0</v>
      </c>
      <c r="D134" s="682">
        <f>'III. Datos Entrada-BE'!F203</f>
        <v>0</v>
      </c>
      <c r="E134" s="683">
        <f>'III. Datos Entrada-BE'!$D$107</f>
        <v>3.87</v>
      </c>
      <c r="F134" s="682">
        <f>'III. Datos Entrada-BE'!$C$181</f>
        <v>0</v>
      </c>
      <c r="G134" s="682">
        <f>'III. Datos Entrada-BE'!$C$123</f>
        <v>0.13</v>
      </c>
      <c r="H134" s="675">
        <f>C134*D134*E134*'III. Datos Entrada-BE'!$G$44*F134*G134*0.717*0.001</f>
        <v>0</v>
      </c>
      <c r="I134" s="52">
        <f t="shared" si="8"/>
        <v>0</v>
      </c>
      <c r="J134" s="2"/>
    </row>
    <row r="135" spans="2:10" ht="52.5" thickBot="1" x14ac:dyDescent="0.35">
      <c r="B135" s="580" t="str">
        <f>'III. Datos Entrada-BE'!B124</f>
        <v>Terneros (en forraje, en pastos/pastizales) 
Calves (on forage, in pasture/rangeland)</v>
      </c>
      <c r="C135" s="682">
        <f>'III. Datos Entrada-BE'!$G$91</f>
        <v>0</v>
      </c>
      <c r="D135" s="682">
        <f>'III. Datos Entrada-BE'!G203</f>
        <v>0</v>
      </c>
      <c r="E135" s="683">
        <f>'III. Datos Entrada-BE'!$D$108</f>
        <v>1.25</v>
      </c>
      <c r="F135" s="682">
        <f>'III. Datos Entrada-BE'!$C$181</f>
        <v>0</v>
      </c>
      <c r="G135" s="682">
        <f>'III. Datos Entrada-BE'!$C$124</f>
        <v>0.13</v>
      </c>
      <c r="H135" s="675">
        <f>C135*D135*E135*'III. Datos Entrada-BE'!$G$44*F135*G135*0.717*0.001</f>
        <v>0</v>
      </c>
      <c r="I135" s="52">
        <f t="shared" si="8"/>
        <v>0</v>
      </c>
      <c r="J135" s="2"/>
    </row>
    <row r="136" spans="2:10" ht="52.5" thickBot="1" x14ac:dyDescent="0.35">
      <c r="B136" s="580" t="str">
        <f>'III. Datos Entrada-BE'!B125</f>
        <v>Terneros (en lechero, en pastos/pastizales) 
Calves (on milk, in pasture/rangeland)</v>
      </c>
      <c r="C136" s="682">
        <f>'III. Datos Entrada-BE'!$H$91</f>
        <v>0</v>
      </c>
      <c r="D136" s="682">
        <f>'III. Datos Entrada-BE'!H203</f>
        <v>0</v>
      </c>
      <c r="E136" s="683">
        <f>'III. Datos Entrada-BE'!$D$109</f>
        <v>0.52</v>
      </c>
      <c r="F136" s="682">
        <f>'III. Datos Entrada-BE'!$C$181</f>
        <v>0</v>
      </c>
      <c r="G136" s="682">
        <f>'III. Datos Entrada-BE'!$C$125</f>
        <v>0.13</v>
      </c>
      <c r="H136" s="675">
        <f>C136*D136*E136*'III. Datos Entrada-BE'!$G$44*F136*G136*0.717*0.001</f>
        <v>0</v>
      </c>
      <c r="I136" s="52">
        <f t="shared" si="8"/>
        <v>0</v>
      </c>
      <c r="J136" s="2"/>
    </row>
    <row r="137" spans="2:10" ht="52.5" thickBot="1" x14ac:dyDescent="0.35">
      <c r="B137" s="580" t="str">
        <f>'III. Datos Entrada-BE'!B126</f>
        <v>Novillas y novillos (en pastos/pastizales)
Heifers and Steers (in pasture/rangeland)</v>
      </c>
      <c r="C137" s="682">
        <f>'III. Datos Entrada-BE'!$I$91</f>
        <v>0</v>
      </c>
      <c r="D137" s="682">
        <f>'III. Datos Entrada-BE'!I203</f>
        <v>0</v>
      </c>
      <c r="E137" s="683">
        <f>'III. Datos Entrada-BE'!$D$110</f>
        <v>2.86</v>
      </c>
      <c r="F137" s="682">
        <f>'III. Datos Entrada-BE'!$C$181</f>
        <v>0</v>
      </c>
      <c r="G137" s="682">
        <f>'III. Datos Entrada-BE'!$C$126</f>
        <v>0.17</v>
      </c>
      <c r="H137" s="675">
        <f>C137*D137*E137*'III. Datos Entrada-BE'!$G$44*F137*G137*0.717*0.001</f>
        <v>0</v>
      </c>
      <c r="I137" s="52">
        <f t="shared" si="8"/>
        <v>0</v>
      </c>
      <c r="J137" s="2"/>
    </row>
    <row r="138" spans="2:10" ht="26.5" thickBot="1" x14ac:dyDescent="0.35">
      <c r="B138" s="580" t="str">
        <f>'III. Datos Entrada-BE'!B127</f>
        <v>Vacas (en pastos/pastizales) 
Cows (in pasture/rangeland)</v>
      </c>
      <c r="C138" s="682">
        <f>'III. Datos Entrada-BE'!$J$91</f>
        <v>0</v>
      </c>
      <c r="D138" s="682">
        <f>'III. Datos Entrada-BE'!J203</f>
        <v>0</v>
      </c>
      <c r="E138" s="683">
        <f>'III. Datos Entrada-BE'!$D$111</f>
        <v>3.55</v>
      </c>
      <c r="F138" s="682">
        <f>'III. Datos Entrada-BE'!$C$181</f>
        <v>0</v>
      </c>
      <c r="G138" s="682">
        <f>'III. Datos Entrada-BE'!$C$127</f>
        <v>0.188</v>
      </c>
      <c r="H138" s="675">
        <f>C138*D138*E138*'III. Datos Entrada-BE'!$G$44*F138*G138*0.717*0.001</f>
        <v>0</v>
      </c>
      <c r="I138" s="52">
        <f t="shared" si="8"/>
        <v>0</v>
      </c>
      <c r="J138" s="2"/>
    </row>
    <row r="139" spans="2:10" ht="26.5" thickBot="1" x14ac:dyDescent="0.35">
      <c r="B139" s="580" t="str">
        <f>'III. Datos Entrada-BE'!B128</f>
        <v>Cerdos de vivero 
Nursery swine</v>
      </c>
      <c r="C139" s="682">
        <f>'III. Datos Entrada-BE'!$K$91</f>
        <v>0</v>
      </c>
      <c r="D139" s="682">
        <f>'III. Datos Entrada-BE'!K203</f>
        <v>0</v>
      </c>
      <c r="E139" s="683">
        <f>'III. Datos Entrada-BE'!$D$112</f>
        <v>0.16600000000000001</v>
      </c>
      <c r="F139" s="682">
        <f>'III. Datos Entrada-BE'!$C$181</f>
        <v>0</v>
      </c>
      <c r="G139" s="682">
        <f>'III. Datos Entrada-BE'!$C$128</f>
        <v>0.28999999999999998</v>
      </c>
      <c r="H139" s="675">
        <f>C139*D139*E139*'III. Datos Entrada-BE'!$G$44*F139*G139*0.717*0.001</f>
        <v>0</v>
      </c>
      <c r="I139" s="52">
        <f t="shared" si="8"/>
        <v>0</v>
      </c>
      <c r="J139" s="2"/>
    </row>
    <row r="140" spans="2:10" ht="26.5" thickBot="1" x14ac:dyDescent="0.35">
      <c r="B140" s="581" t="str">
        <f>'III. Datos Entrada-BE'!B129</f>
        <v>Cerdos en crecimiento 
Growing swine</v>
      </c>
      <c r="C140" s="582">
        <f>'III. Datos Entrada-BE'!$L$91</f>
        <v>0</v>
      </c>
      <c r="D140" s="582">
        <f>'III. Datos Entrada-BE'!L203</f>
        <v>0</v>
      </c>
      <c r="E140" s="583">
        <f>'III. Datos Entrada-BE'!$D$113</f>
        <v>0.40500000000000003</v>
      </c>
      <c r="F140" s="582">
        <f>'III. Datos Entrada-BE'!$C$181</f>
        <v>0</v>
      </c>
      <c r="G140" s="582">
        <f>'III. Datos Entrada-BE'!$C$129</f>
        <v>0.28999999999999998</v>
      </c>
      <c r="H140" s="576">
        <f>C140*D140*E140*'III. Datos Entrada-BE'!$G$44*F140*G140*0.717*0.001</f>
        <v>0</v>
      </c>
      <c r="I140" s="52">
        <f t="shared" si="8"/>
        <v>0</v>
      </c>
      <c r="J140" s="2"/>
    </row>
    <row r="141" spans="2:10" ht="13.5" thickBot="1" x14ac:dyDescent="0.35">
      <c r="B141" s="372" t="s">
        <v>185</v>
      </c>
      <c r="C141" s="228"/>
      <c r="D141" s="228"/>
      <c r="E141" s="228"/>
      <c r="F141" s="228"/>
      <c r="G141" s="230"/>
      <c r="H141" s="231">
        <f>SUM(H131:H140)</f>
        <v>0</v>
      </c>
      <c r="I141" s="54">
        <f>SUM(I131:I140)</f>
        <v>0</v>
      </c>
      <c r="J141" s="2"/>
    </row>
    <row r="142" spans="2:10" ht="13.5" thickBot="1" x14ac:dyDescent="0.35">
      <c r="B142" s="26"/>
      <c r="H142" s="8"/>
      <c r="I142" s="8"/>
      <c r="J142" s="2"/>
    </row>
    <row r="143" spans="2:10" ht="13.5" thickBot="1" x14ac:dyDescent="0.35">
      <c r="B143" s="371">
        <f>'III. Datos Entrada-BE'!C145</f>
        <v>0</v>
      </c>
      <c r="H143" s="3"/>
      <c r="J143" s="2"/>
    </row>
    <row r="144" spans="2:10" s="22" customFormat="1" ht="27.5" thickBot="1" x14ac:dyDescent="0.45">
      <c r="B144" s="247" t="s">
        <v>935</v>
      </c>
      <c r="C144" s="71" t="s">
        <v>178</v>
      </c>
      <c r="D144" s="71" t="s">
        <v>179</v>
      </c>
      <c r="E144" s="71" t="s">
        <v>180</v>
      </c>
      <c r="F144" s="71" t="s">
        <v>181</v>
      </c>
      <c r="G144" s="71" t="s">
        <v>182</v>
      </c>
      <c r="H144" s="61" t="s">
        <v>183</v>
      </c>
      <c r="I144" s="72" t="s">
        <v>184</v>
      </c>
    </row>
    <row r="145" spans="2:10" ht="52.5" thickBot="1" x14ac:dyDescent="0.35">
      <c r="B145" s="338" t="str">
        <f>'III. Datos Entrada-BE'!B120</f>
        <v>Vacas lecheras y no lecheras (en sistemas intensivos) 
Dairy and non-milking dairy cows (in intensive systems)</v>
      </c>
      <c r="C145" s="224">
        <f>'III. Datos Entrada-BE'!$C$91</f>
        <v>0</v>
      </c>
      <c r="D145" s="224">
        <f>'III. Datos Entrada-BE'!C204</f>
        <v>0</v>
      </c>
      <c r="E145" s="225">
        <f>'V. BE CH4-AS'!$C$20</f>
        <v>3.91</v>
      </c>
      <c r="F145" s="224">
        <f>'III. Datos Entrada-BE'!$C$182</f>
        <v>0</v>
      </c>
      <c r="G145" s="224">
        <f>'III. Datos Entrada-BE'!$C$120</f>
        <v>0.13</v>
      </c>
      <c r="H145" s="50">
        <f>C145*D145*E145*'III. Datos Entrada-BE'!$G$44*F145*G145*0.717*0.001</f>
        <v>0</v>
      </c>
      <c r="I145" s="52">
        <f t="shared" ref="I145:I154" si="9">H145*PCG</f>
        <v>0</v>
      </c>
      <c r="J145" s="2"/>
    </row>
    <row r="146" spans="2:10" ht="52.5" thickBot="1" x14ac:dyDescent="0.35">
      <c r="B146" s="580" t="str">
        <f>'III. Datos Entrada-BE'!B121</f>
        <v>Novillos/Novillos (en sistemas intensivos) 
Heifers/Steers (in intensive systems)</v>
      </c>
      <c r="C146" s="682">
        <f>'III. Datos Entrada-BE'!$D$91</f>
        <v>0</v>
      </c>
      <c r="D146" s="682">
        <f>'III. Datos Entrada-BE'!D204</f>
        <v>0</v>
      </c>
      <c r="E146" s="683">
        <f>'V. BE CH4-AS'!$C$68</f>
        <v>2.86</v>
      </c>
      <c r="F146" s="682">
        <f>'III. Datos Entrada-BE'!$C$182</f>
        <v>0</v>
      </c>
      <c r="G146" s="682">
        <f>'III. Datos Entrada-BE'!$C$121</f>
        <v>0.17</v>
      </c>
      <c r="H146" s="675">
        <f>C146*D146*E146*'III. Datos Entrada-BE'!$G$44*F146*G146*0.717*0.001</f>
        <v>0</v>
      </c>
      <c r="I146" s="52">
        <f t="shared" si="9"/>
        <v>0</v>
      </c>
      <c r="J146" s="2"/>
    </row>
    <row r="147" spans="2:10" ht="65.5" thickBot="1" x14ac:dyDescent="0.35">
      <c r="B147" s="580" t="str">
        <f>'III. Datos Entrada-BE'!B122</f>
        <v>Novillas de reemplazo/crecimiento (en pastos o pastizales) 
Replacement/growing heifers (in pasture or rangeland)</v>
      </c>
      <c r="C147" s="682">
        <f>'III. Datos Entrada-BE'!$E$91</f>
        <v>0</v>
      </c>
      <c r="D147" s="682">
        <f>'III. Datos Entrada-BE'!E204</f>
        <v>0</v>
      </c>
      <c r="E147" s="683">
        <f>'III. Datos Entrada-BE'!$D$106</f>
        <v>2.4900000000000002</v>
      </c>
      <c r="F147" s="682">
        <f>'III. Datos Entrada-BE'!$C$182</f>
        <v>0</v>
      </c>
      <c r="G147" s="682">
        <f>'III. Datos Entrada-BE'!$C$122</f>
        <v>0.13</v>
      </c>
      <c r="H147" s="675">
        <f>C147*D147*E147*'III. Datos Entrada-BE'!$G$44*F147*G147*0.717*0.001</f>
        <v>0</v>
      </c>
      <c r="I147" s="52">
        <f t="shared" si="9"/>
        <v>0</v>
      </c>
      <c r="J147" s="2"/>
    </row>
    <row r="148" spans="2:10" ht="26.5" thickBot="1" x14ac:dyDescent="0.35">
      <c r="B148" s="580" t="str">
        <f>'III. Datos Entrada-BE'!B123</f>
        <v>Toros (pastoreo) 
Bulls (grazing)</v>
      </c>
      <c r="C148" s="682">
        <f>'III. Datos Entrada-BE'!$F$91</f>
        <v>0</v>
      </c>
      <c r="D148" s="682">
        <f>'III. Datos Entrada-BE'!F204</f>
        <v>0</v>
      </c>
      <c r="E148" s="683">
        <f>'III. Datos Entrada-BE'!$D$107</f>
        <v>3.87</v>
      </c>
      <c r="F148" s="682">
        <f>'III. Datos Entrada-BE'!$C$182</f>
        <v>0</v>
      </c>
      <c r="G148" s="682">
        <f>'III. Datos Entrada-BE'!$C$123</f>
        <v>0.13</v>
      </c>
      <c r="H148" s="675">
        <f>C148*D148*E148*'III. Datos Entrada-BE'!$G$44*F148*G148*0.717*0.001</f>
        <v>0</v>
      </c>
      <c r="I148" s="52">
        <f t="shared" si="9"/>
        <v>0</v>
      </c>
      <c r="J148" s="2"/>
    </row>
    <row r="149" spans="2:10" ht="52.5" thickBot="1" x14ac:dyDescent="0.35">
      <c r="B149" s="580" t="str">
        <f>'III. Datos Entrada-BE'!B124</f>
        <v>Terneros (en forraje, en pastos/pastizales) 
Calves (on forage, in pasture/rangeland)</v>
      </c>
      <c r="C149" s="682">
        <f>'III. Datos Entrada-BE'!$G$91</f>
        <v>0</v>
      </c>
      <c r="D149" s="682">
        <f>'III. Datos Entrada-BE'!G204</f>
        <v>0</v>
      </c>
      <c r="E149" s="683">
        <f>'III. Datos Entrada-BE'!$D$108</f>
        <v>1.25</v>
      </c>
      <c r="F149" s="682">
        <f>'III. Datos Entrada-BE'!$C$182</f>
        <v>0</v>
      </c>
      <c r="G149" s="682">
        <f>'III. Datos Entrada-BE'!$C$124</f>
        <v>0.13</v>
      </c>
      <c r="H149" s="675">
        <f>C149*D149*E149*'III. Datos Entrada-BE'!$G$44*F149*G149*0.717*0.001</f>
        <v>0</v>
      </c>
      <c r="I149" s="52">
        <f t="shared" si="9"/>
        <v>0</v>
      </c>
      <c r="J149" s="2"/>
    </row>
    <row r="150" spans="2:10" ht="52.5" thickBot="1" x14ac:dyDescent="0.35">
      <c r="B150" s="580" t="str">
        <f>'III. Datos Entrada-BE'!B125</f>
        <v>Terneros (en lechero, en pastos/pastizales) 
Calves (on milk, in pasture/rangeland)</v>
      </c>
      <c r="C150" s="682">
        <f>'III. Datos Entrada-BE'!$H$91</f>
        <v>0</v>
      </c>
      <c r="D150" s="682">
        <f>'III. Datos Entrada-BE'!H204</f>
        <v>0</v>
      </c>
      <c r="E150" s="683">
        <f>'III. Datos Entrada-BE'!$D$109</f>
        <v>0.52</v>
      </c>
      <c r="F150" s="682">
        <f>'III. Datos Entrada-BE'!$C$182</f>
        <v>0</v>
      </c>
      <c r="G150" s="682">
        <f>'III. Datos Entrada-BE'!$C$125</f>
        <v>0.13</v>
      </c>
      <c r="H150" s="675">
        <f>C150*D150*E150*'III. Datos Entrada-BE'!$G$44*F150*G150*0.717*0.001</f>
        <v>0</v>
      </c>
      <c r="I150" s="52">
        <f t="shared" si="9"/>
        <v>0</v>
      </c>
      <c r="J150" s="2"/>
    </row>
    <row r="151" spans="2:10" ht="52.5" thickBot="1" x14ac:dyDescent="0.35">
      <c r="B151" s="580" t="str">
        <f>'III. Datos Entrada-BE'!B126</f>
        <v>Novillas y novillos (en pastos/pastizales)
Heifers and Steers (in pasture/rangeland)</v>
      </c>
      <c r="C151" s="682">
        <f>'III. Datos Entrada-BE'!$I$91</f>
        <v>0</v>
      </c>
      <c r="D151" s="682">
        <f>'III. Datos Entrada-BE'!I204</f>
        <v>0</v>
      </c>
      <c r="E151" s="683">
        <f>'III. Datos Entrada-BE'!$D$110</f>
        <v>2.86</v>
      </c>
      <c r="F151" s="682">
        <f>'III. Datos Entrada-BE'!$C$182</f>
        <v>0</v>
      </c>
      <c r="G151" s="682">
        <f>'III. Datos Entrada-BE'!$C$126</f>
        <v>0.17</v>
      </c>
      <c r="H151" s="675">
        <f>C151*D151*E151*'III. Datos Entrada-BE'!$G$44*F151*G151*0.717*0.001</f>
        <v>0</v>
      </c>
      <c r="I151" s="52">
        <f t="shared" si="9"/>
        <v>0</v>
      </c>
      <c r="J151" s="2"/>
    </row>
    <row r="152" spans="2:10" ht="26.5" thickBot="1" x14ac:dyDescent="0.35">
      <c r="B152" s="580" t="str">
        <f>'III. Datos Entrada-BE'!B127</f>
        <v>Vacas (en pastos/pastizales) 
Cows (in pasture/rangeland)</v>
      </c>
      <c r="C152" s="682">
        <f>'III. Datos Entrada-BE'!$J$91</f>
        <v>0</v>
      </c>
      <c r="D152" s="682">
        <f>'III. Datos Entrada-BE'!J204</f>
        <v>0</v>
      </c>
      <c r="E152" s="683">
        <f>'III. Datos Entrada-BE'!$D$111</f>
        <v>3.55</v>
      </c>
      <c r="F152" s="682">
        <f>'III. Datos Entrada-BE'!$C$182</f>
        <v>0</v>
      </c>
      <c r="G152" s="682">
        <f>'III. Datos Entrada-BE'!$C$127</f>
        <v>0.188</v>
      </c>
      <c r="H152" s="675">
        <f>C152*D152*E152*'III. Datos Entrada-BE'!$G$44*F152*G152*0.717*0.001</f>
        <v>0</v>
      </c>
      <c r="I152" s="52">
        <f t="shared" si="9"/>
        <v>0</v>
      </c>
      <c r="J152" s="2"/>
    </row>
    <row r="153" spans="2:10" ht="26.5" thickBot="1" x14ac:dyDescent="0.35">
      <c r="B153" s="580" t="str">
        <f>'III. Datos Entrada-BE'!B128</f>
        <v>Cerdos de vivero 
Nursery swine</v>
      </c>
      <c r="C153" s="682">
        <f>'III. Datos Entrada-BE'!$K$91</f>
        <v>0</v>
      </c>
      <c r="D153" s="682">
        <f>'III. Datos Entrada-BE'!K204</f>
        <v>0</v>
      </c>
      <c r="E153" s="683">
        <f>'III. Datos Entrada-BE'!$D$112</f>
        <v>0.16600000000000001</v>
      </c>
      <c r="F153" s="682">
        <f>'III. Datos Entrada-BE'!$C$182</f>
        <v>0</v>
      </c>
      <c r="G153" s="682">
        <f>'III. Datos Entrada-BE'!$C$128</f>
        <v>0.28999999999999998</v>
      </c>
      <c r="H153" s="675">
        <f>C153*D153*E153*'III. Datos Entrada-BE'!$G$44*F153*G153*0.717*0.001</f>
        <v>0</v>
      </c>
      <c r="I153" s="52">
        <f t="shared" si="9"/>
        <v>0</v>
      </c>
      <c r="J153" s="2"/>
    </row>
    <row r="154" spans="2:10" ht="26.5" thickBot="1" x14ac:dyDescent="0.35">
      <c r="B154" s="581" t="str">
        <f>'III. Datos Entrada-BE'!B129</f>
        <v>Cerdos en crecimiento 
Growing swine</v>
      </c>
      <c r="C154" s="582">
        <f>'III. Datos Entrada-BE'!$L$91</f>
        <v>0</v>
      </c>
      <c r="D154" s="582">
        <f>'III. Datos Entrada-BE'!L204</f>
        <v>0</v>
      </c>
      <c r="E154" s="583">
        <f>'III. Datos Entrada-BE'!$D$113</f>
        <v>0.40500000000000003</v>
      </c>
      <c r="F154" s="582">
        <f>'III. Datos Entrada-BE'!$C$182</f>
        <v>0</v>
      </c>
      <c r="G154" s="582">
        <f>'III. Datos Entrada-BE'!$C$129</f>
        <v>0.28999999999999998</v>
      </c>
      <c r="H154" s="576">
        <f>C154*D154*E154*'III. Datos Entrada-BE'!$G$44*F154*G154*0.717*0.001</f>
        <v>0</v>
      </c>
      <c r="I154" s="52">
        <f t="shared" si="9"/>
        <v>0</v>
      </c>
      <c r="J154" s="2"/>
    </row>
    <row r="155" spans="2:10" ht="13.5" thickBot="1" x14ac:dyDescent="0.35">
      <c r="B155" s="372" t="s">
        <v>185</v>
      </c>
      <c r="C155" s="228"/>
      <c r="D155" s="228"/>
      <c r="E155" s="228"/>
      <c r="F155" s="228"/>
      <c r="G155" s="230"/>
      <c r="H155" s="231">
        <f>SUM(H145:H154)</f>
        <v>0</v>
      </c>
      <c r="I155" s="54">
        <f>SUM(I145:I154)</f>
        <v>0</v>
      </c>
      <c r="J155" s="2"/>
    </row>
    <row r="156" spans="2:10" ht="13.5" thickBot="1" x14ac:dyDescent="0.35">
      <c r="B156" s="26"/>
      <c r="H156" s="8"/>
      <c r="I156" s="8"/>
      <c r="J156" s="2"/>
    </row>
    <row r="157" spans="2:10" ht="13.5" thickBot="1" x14ac:dyDescent="0.35">
      <c r="B157" s="371">
        <f>'III. Datos Entrada-BE'!C146</f>
        <v>0</v>
      </c>
      <c r="H157" s="3"/>
      <c r="J157" s="2"/>
    </row>
    <row r="158" spans="2:10" s="22" customFormat="1" ht="27.5" thickBot="1" x14ac:dyDescent="0.45">
      <c r="B158" s="247" t="s">
        <v>935</v>
      </c>
      <c r="C158" s="71" t="s">
        <v>178</v>
      </c>
      <c r="D158" s="71" t="s">
        <v>179</v>
      </c>
      <c r="E158" s="71" t="s">
        <v>180</v>
      </c>
      <c r="F158" s="71" t="s">
        <v>181</v>
      </c>
      <c r="G158" s="71" t="s">
        <v>182</v>
      </c>
      <c r="H158" s="61" t="s">
        <v>183</v>
      </c>
      <c r="I158" s="72" t="s">
        <v>184</v>
      </c>
    </row>
    <row r="159" spans="2:10" ht="52.5" thickBot="1" x14ac:dyDescent="0.35">
      <c r="B159" s="338" t="str">
        <f>'III. Datos Entrada-BE'!B120</f>
        <v>Vacas lecheras y no lecheras (en sistemas intensivos) 
Dairy and non-milking dairy cows (in intensive systems)</v>
      </c>
      <c r="C159" s="224">
        <f>'III. Datos Entrada-BE'!$C$91</f>
        <v>0</v>
      </c>
      <c r="D159" s="224">
        <f>'III. Datos Entrada-BE'!C205</f>
        <v>0</v>
      </c>
      <c r="E159" s="225">
        <f>'V. BE CH4-AS'!$C$20</f>
        <v>3.91</v>
      </c>
      <c r="F159" s="224">
        <f>'III. Datos Entrada-BE'!$C$183</f>
        <v>0</v>
      </c>
      <c r="G159" s="224">
        <f>'III. Datos Entrada-BE'!$C$120</f>
        <v>0.13</v>
      </c>
      <c r="H159" s="50">
        <f>C159*D159*E159*'III. Datos Entrada-BE'!$G$44*F159*G159*0.717*0.001</f>
        <v>0</v>
      </c>
      <c r="I159" s="52">
        <f t="shared" ref="I159:I168" si="10">H159*PCG</f>
        <v>0</v>
      </c>
      <c r="J159" s="2"/>
    </row>
    <row r="160" spans="2:10" ht="52.5" thickBot="1" x14ac:dyDescent="0.35">
      <c r="B160" s="580" t="str">
        <f>'III. Datos Entrada-BE'!B121</f>
        <v>Novillos/Novillos (en sistemas intensivos) 
Heifers/Steers (in intensive systems)</v>
      </c>
      <c r="C160" s="682">
        <f>'III. Datos Entrada-BE'!$D$91</f>
        <v>0</v>
      </c>
      <c r="D160" s="682">
        <f>'III. Datos Entrada-BE'!D205</f>
        <v>0</v>
      </c>
      <c r="E160" s="683">
        <f>'V. BE CH4-AS'!$C$68</f>
        <v>2.86</v>
      </c>
      <c r="F160" s="682">
        <f>'III. Datos Entrada-BE'!$C$183</f>
        <v>0</v>
      </c>
      <c r="G160" s="682">
        <f>'III. Datos Entrada-BE'!$C$121</f>
        <v>0.17</v>
      </c>
      <c r="H160" s="675">
        <f>C160*D160*E160*'III. Datos Entrada-BE'!$G$44*F160*G160*0.717*0.001</f>
        <v>0</v>
      </c>
      <c r="I160" s="52">
        <f t="shared" si="10"/>
        <v>0</v>
      </c>
      <c r="J160" s="2"/>
    </row>
    <row r="161" spans="1:10" ht="65.5" thickBot="1" x14ac:dyDescent="0.35">
      <c r="B161" s="580" t="str">
        <f>'III. Datos Entrada-BE'!B122</f>
        <v>Novillas de reemplazo/crecimiento (en pastos o pastizales) 
Replacement/growing heifers (in pasture or rangeland)</v>
      </c>
      <c r="C161" s="682">
        <f>'III. Datos Entrada-BE'!$E$91</f>
        <v>0</v>
      </c>
      <c r="D161" s="682">
        <f>'III. Datos Entrada-BE'!E205</f>
        <v>0</v>
      </c>
      <c r="E161" s="683">
        <f>'III. Datos Entrada-BE'!$D$106</f>
        <v>2.4900000000000002</v>
      </c>
      <c r="F161" s="682">
        <f>'III. Datos Entrada-BE'!$C$183</f>
        <v>0</v>
      </c>
      <c r="G161" s="682">
        <f>'III. Datos Entrada-BE'!$C$122</f>
        <v>0.13</v>
      </c>
      <c r="H161" s="675">
        <f>C161*D161*E161*'III. Datos Entrada-BE'!$G$44*F161*G161*0.717*0.001</f>
        <v>0</v>
      </c>
      <c r="I161" s="52">
        <f t="shared" si="10"/>
        <v>0</v>
      </c>
      <c r="J161" s="2"/>
    </row>
    <row r="162" spans="1:10" ht="26.5" thickBot="1" x14ac:dyDescent="0.35">
      <c r="B162" s="580" t="str">
        <f>'III. Datos Entrada-BE'!B123</f>
        <v>Toros (pastoreo) 
Bulls (grazing)</v>
      </c>
      <c r="C162" s="682">
        <f>'III. Datos Entrada-BE'!$F$91</f>
        <v>0</v>
      </c>
      <c r="D162" s="682">
        <f>'III. Datos Entrada-BE'!F205</f>
        <v>0</v>
      </c>
      <c r="E162" s="683">
        <f>'III. Datos Entrada-BE'!$D$107</f>
        <v>3.87</v>
      </c>
      <c r="F162" s="682">
        <f>'III. Datos Entrada-BE'!$C$183</f>
        <v>0</v>
      </c>
      <c r="G162" s="682">
        <f>'III. Datos Entrada-BE'!$C$123</f>
        <v>0.13</v>
      </c>
      <c r="H162" s="675">
        <f>C162*D162*E162*'III. Datos Entrada-BE'!$G$44*F162*G162*0.717*0.001</f>
        <v>0</v>
      </c>
      <c r="I162" s="52">
        <f t="shared" si="10"/>
        <v>0</v>
      </c>
      <c r="J162" s="2"/>
    </row>
    <row r="163" spans="1:10" ht="52.5" thickBot="1" x14ac:dyDescent="0.35">
      <c r="B163" s="580" t="str">
        <f>'III. Datos Entrada-BE'!B124</f>
        <v>Terneros (en forraje, en pastos/pastizales) 
Calves (on forage, in pasture/rangeland)</v>
      </c>
      <c r="C163" s="682">
        <f>'III. Datos Entrada-BE'!$G$91</f>
        <v>0</v>
      </c>
      <c r="D163" s="682">
        <f>'III. Datos Entrada-BE'!G205</f>
        <v>0</v>
      </c>
      <c r="E163" s="683">
        <f>'III. Datos Entrada-BE'!$D$108</f>
        <v>1.25</v>
      </c>
      <c r="F163" s="682">
        <f>'III. Datos Entrada-BE'!$C$183</f>
        <v>0</v>
      </c>
      <c r="G163" s="682">
        <f>'III. Datos Entrada-BE'!$C$124</f>
        <v>0.13</v>
      </c>
      <c r="H163" s="675">
        <f>C163*D163*E163*'III. Datos Entrada-BE'!$G$44*F163*G163*0.717*0.001</f>
        <v>0</v>
      </c>
      <c r="I163" s="52">
        <f t="shared" si="10"/>
        <v>0</v>
      </c>
      <c r="J163" s="2"/>
    </row>
    <row r="164" spans="1:10" ht="52.5" thickBot="1" x14ac:dyDescent="0.35">
      <c r="B164" s="580" t="str">
        <f>'III. Datos Entrada-BE'!B125</f>
        <v>Terneros (en lechero, en pastos/pastizales) 
Calves (on milk, in pasture/rangeland)</v>
      </c>
      <c r="C164" s="682">
        <f>'III. Datos Entrada-BE'!$H$91</f>
        <v>0</v>
      </c>
      <c r="D164" s="682">
        <f>'III. Datos Entrada-BE'!H205</f>
        <v>0</v>
      </c>
      <c r="E164" s="683">
        <f>'III. Datos Entrada-BE'!$D$109</f>
        <v>0.52</v>
      </c>
      <c r="F164" s="682">
        <f>'III. Datos Entrada-BE'!$C$183</f>
        <v>0</v>
      </c>
      <c r="G164" s="682">
        <f>'III. Datos Entrada-BE'!$C$125</f>
        <v>0.13</v>
      </c>
      <c r="H164" s="675">
        <f>C164*D164*E164*'III. Datos Entrada-BE'!$G$44*F164*G164*0.717*0.001</f>
        <v>0</v>
      </c>
      <c r="I164" s="52">
        <f t="shared" si="10"/>
        <v>0</v>
      </c>
      <c r="J164" s="2"/>
    </row>
    <row r="165" spans="1:10" ht="52.5" thickBot="1" x14ac:dyDescent="0.35">
      <c r="B165" s="580" t="str">
        <f>'III. Datos Entrada-BE'!B126</f>
        <v>Novillas y novillos (en pastos/pastizales)
Heifers and Steers (in pasture/rangeland)</v>
      </c>
      <c r="C165" s="682">
        <f>'III. Datos Entrada-BE'!$I$91</f>
        <v>0</v>
      </c>
      <c r="D165" s="682">
        <f>'III. Datos Entrada-BE'!I205</f>
        <v>0</v>
      </c>
      <c r="E165" s="683">
        <f>'III. Datos Entrada-BE'!$D$110</f>
        <v>2.86</v>
      </c>
      <c r="F165" s="682">
        <f>'III. Datos Entrada-BE'!$C$183</f>
        <v>0</v>
      </c>
      <c r="G165" s="682">
        <f>'III. Datos Entrada-BE'!$C$126</f>
        <v>0.17</v>
      </c>
      <c r="H165" s="675">
        <f>C165*D165*E165*'III. Datos Entrada-BE'!$G$44*F165*G165*0.717*0.001</f>
        <v>0</v>
      </c>
      <c r="I165" s="52">
        <f t="shared" si="10"/>
        <v>0</v>
      </c>
      <c r="J165" s="2"/>
    </row>
    <row r="166" spans="1:10" ht="26.5" thickBot="1" x14ac:dyDescent="0.35">
      <c r="B166" s="580" t="str">
        <f>'III. Datos Entrada-BE'!B127</f>
        <v>Vacas (en pastos/pastizales) 
Cows (in pasture/rangeland)</v>
      </c>
      <c r="C166" s="682">
        <f>'III. Datos Entrada-BE'!$J$91</f>
        <v>0</v>
      </c>
      <c r="D166" s="682">
        <f>'III. Datos Entrada-BE'!J205</f>
        <v>0</v>
      </c>
      <c r="E166" s="683">
        <f>'III. Datos Entrada-BE'!$D$111</f>
        <v>3.55</v>
      </c>
      <c r="F166" s="682">
        <f>'III. Datos Entrada-BE'!$C$183</f>
        <v>0</v>
      </c>
      <c r="G166" s="682">
        <f>'III. Datos Entrada-BE'!$C$127</f>
        <v>0.188</v>
      </c>
      <c r="H166" s="675">
        <f>C166*D166*E166*'III. Datos Entrada-BE'!$G$44*F166*G166*0.717*0.001</f>
        <v>0</v>
      </c>
      <c r="I166" s="52">
        <f t="shared" si="10"/>
        <v>0</v>
      </c>
      <c r="J166" s="2"/>
    </row>
    <row r="167" spans="1:10" ht="26.5" thickBot="1" x14ac:dyDescent="0.35">
      <c r="B167" s="580" t="str">
        <f>'III. Datos Entrada-BE'!B128</f>
        <v>Cerdos de vivero 
Nursery swine</v>
      </c>
      <c r="C167" s="682">
        <f>'III. Datos Entrada-BE'!$K$91</f>
        <v>0</v>
      </c>
      <c r="D167" s="682">
        <f>'III. Datos Entrada-BE'!K205</f>
        <v>0</v>
      </c>
      <c r="E167" s="683">
        <f>'III. Datos Entrada-BE'!$D$112</f>
        <v>0.16600000000000001</v>
      </c>
      <c r="F167" s="682">
        <f>'III. Datos Entrada-BE'!$C$183</f>
        <v>0</v>
      </c>
      <c r="G167" s="682">
        <f>'III. Datos Entrada-BE'!$C$128</f>
        <v>0.28999999999999998</v>
      </c>
      <c r="H167" s="675">
        <f>C167*D167*E167*'III. Datos Entrada-BE'!$G$44*F167*G167*0.717*0.001</f>
        <v>0</v>
      </c>
      <c r="I167" s="52">
        <f t="shared" si="10"/>
        <v>0</v>
      </c>
      <c r="J167" s="2"/>
    </row>
    <row r="168" spans="1:10" ht="26.5" thickBot="1" x14ac:dyDescent="0.35">
      <c r="B168" s="581" t="str">
        <f>'III. Datos Entrada-BE'!B129</f>
        <v>Cerdos en crecimiento 
Growing swine</v>
      </c>
      <c r="C168" s="582">
        <f>'III. Datos Entrada-BE'!$L$91</f>
        <v>0</v>
      </c>
      <c r="D168" s="582">
        <f>'III. Datos Entrada-BE'!L205</f>
        <v>0</v>
      </c>
      <c r="E168" s="583">
        <f>'III. Datos Entrada-BE'!$D$113</f>
        <v>0.40500000000000003</v>
      </c>
      <c r="F168" s="582">
        <f>'III. Datos Entrada-BE'!$C$183</f>
        <v>0</v>
      </c>
      <c r="G168" s="582">
        <f>'III. Datos Entrada-BE'!$C$129</f>
        <v>0.28999999999999998</v>
      </c>
      <c r="H168" s="576">
        <f>C168*D168*E168*'III. Datos Entrada-BE'!$G$44*F168*G168*0.717*0.001</f>
        <v>0</v>
      </c>
      <c r="I168" s="52">
        <f t="shared" si="10"/>
        <v>0</v>
      </c>
      <c r="J168" s="2"/>
    </row>
    <row r="169" spans="1:10" ht="13.5" thickBot="1" x14ac:dyDescent="0.35">
      <c r="B169" s="232" t="s">
        <v>185</v>
      </c>
      <c r="C169" s="233"/>
      <c r="D169" s="233"/>
      <c r="E169" s="233"/>
      <c r="F169" s="233"/>
      <c r="G169" s="234"/>
      <c r="H169" s="231">
        <f>SUM(H159:H168)</f>
        <v>0</v>
      </c>
      <c r="I169" s="54">
        <f>SUM(I159:I168)</f>
        <v>0</v>
      </c>
    </row>
    <row r="170" spans="1:10" x14ac:dyDescent="0.3">
      <c r="H170" s="8"/>
      <c r="I170" s="8"/>
    </row>
    <row r="171" spans="1:10" x14ac:dyDescent="0.3">
      <c r="I171" s="8"/>
      <c r="J171" s="8"/>
    </row>
    <row r="172" spans="1:10" ht="15.5" x14ac:dyDescent="0.25">
      <c r="B172" s="75" t="s">
        <v>187</v>
      </c>
    </row>
    <row r="173" spans="1:10" ht="16" thickBot="1" x14ac:dyDescent="0.3">
      <c r="B173" s="916" t="s">
        <v>936</v>
      </c>
    </row>
    <row r="174" spans="1:10" ht="16" x14ac:dyDescent="0.4">
      <c r="A174" s="9"/>
      <c r="B174" s="235" t="s">
        <v>183</v>
      </c>
      <c r="C174" s="236">
        <f>H29+H43+H57+H71+H85+H99+H113+H127+H141+H155+H169</f>
        <v>0</v>
      </c>
      <c r="D174" s="84" t="s">
        <v>31</v>
      </c>
      <c r="E174" s="9"/>
      <c r="F174" s="9"/>
      <c r="G174" s="9"/>
      <c r="H174" s="9"/>
    </row>
    <row r="175" spans="1:10" ht="16.5" thickBot="1" x14ac:dyDescent="0.45">
      <c r="A175" s="9"/>
      <c r="B175" s="584" t="s">
        <v>184</v>
      </c>
      <c r="C175" s="585">
        <f>I29+I43+I57+I71+I85+I99+I113+I127+I141+I155+I169</f>
        <v>0</v>
      </c>
      <c r="D175" s="78" t="s">
        <v>33</v>
      </c>
      <c r="E175" s="9"/>
      <c r="F175" s="9"/>
      <c r="G175" s="9"/>
      <c r="H175" s="9"/>
    </row>
    <row r="176" spans="1:10" ht="13.5" thickBot="1" x14ac:dyDescent="0.35"/>
    <row r="177" spans="2:10" ht="12.5" x14ac:dyDescent="0.25">
      <c r="B177" s="1108" t="s">
        <v>839</v>
      </c>
      <c r="C177" s="1109"/>
      <c r="D177" s="1109"/>
      <c r="E177" s="1109"/>
      <c r="F177" s="1109"/>
      <c r="G177" s="1109"/>
      <c r="H177" s="1110"/>
      <c r="I177" s="2"/>
      <c r="J177" s="2"/>
    </row>
    <row r="178" spans="2:10" ht="12.5" x14ac:dyDescent="0.25">
      <c r="B178" s="1107"/>
      <c r="C178" s="1111"/>
      <c r="D178" s="1111"/>
      <c r="E178" s="1111"/>
      <c r="F178" s="1111"/>
      <c r="G178" s="1111"/>
      <c r="H178" s="1112"/>
      <c r="I178" s="2"/>
      <c r="J178" s="2"/>
    </row>
    <row r="179" spans="2:10" ht="12.5" x14ac:dyDescent="0.25">
      <c r="B179" s="1107"/>
      <c r="C179" s="1111"/>
      <c r="D179" s="1111"/>
      <c r="E179" s="1111"/>
      <c r="F179" s="1111"/>
      <c r="G179" s="1111"/>
      <c r="H179" s="1112"/>
      <c r="I179" s="2"/>
      <c r="J179" s="2"/>
    </row>
    <row r="180" spans="2:10" ht="12.5" x14ac:dyDescent="0.25">
      <c r="B180" s="1107"/>
      <c r="C180" s="1111"/>
      <c r="D180" s="1111"/>
      <c r="E180" s="1111"/>
      <c r="F180" s="1111"/>
      <c r="G180" s="1111"/>
      <c r="H180" s="1112"/>
      <c r="I180" s="2"/>
      <c r="J180" s="2"/>
    </row>
    <row r="181" spans="2:10" ht="12.5" x14ac:dyDescent="0.25">
      <c r="B181" s="1107"/>
      <c r="C181" s="1111"/>
      <c r="D181" s="1111"/>
      <c r="E181" s="1111"/>
      <c r="F181" s="1111"/>
      <c r="G181" s="1111"/>
      <c r="H181" s="1112"/>
      <c r="I181" s="2"/>
      <c r="J181" s="2"/>
    </row>
    <row r="182" spans="2:10" ht="12.5" x14ac:dyDescent="0.25">
      <c r="B182" s="1107"/>
      <c r="C182" s="1111"/>
      <c r="D182" s="1111"/>
      <c r="E182" s="1111"/>
      <c r="F182" s="1111"/>
      <c r="G182" s="1111"/>
      <c r="H182" s="1112"/>
      <c r="I182" s="2"/>
      <c r="J182" s="2"/>
    </row>
    <row r="183" spans="2:10" thickBot="1" x14ac:dyDescent="0.3">
      <c r="B183" s="1113"/>
      <c r="C183" s="1114"/>
      <c r="D183" s="1114"/>
      <c r="E183" s="1114"/>
      <c r="F183" s="1114"/>
      <c r="G183" s="1114"/>
      <c r="H183" s="1115"/>
      <c r="I183" s="2"/>
      <c r="J183" s="2"/>
    </row>
  </sheetData>
  <sheetProtection algorithmName="SHA-512" hashValue="j5t46YuxAl3EJuPR/9tkSzOjpdus9w5+IFXuPkbc/prmhzwQfxqR+ud9/RQOTKdvMKnbMOO4NAu0J4M5TcKAlA==" saltValue="eZtTGVMBaZxb7yr4Y+CJTg==" spinCount="100000" sheet="1" objects="1" scenarios="1"/>
  <mergeCells count="3">
    <mergeCell ref="B14:J14"/>
    <mergeCell ref="B177:H183"/>
    <mergeCell ref="B15:H1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49"/>
  <sheetViews>
    <sheetView showGridLines="0" zoomScale="80" zoomScaleNormal="80" workbookViewId="0">
      <selection activeCell="B11" sqref="B11:H11"/>
    </sheetView>
  </sheetViews>
  <sheetFormatPr defaultColWidth="8.83203125" defaultRowHeight="12.5" x14ac:dyDescent="0.25"/>
  <cols>
    <col min="1" max="1" width="3.83203125" style="2" customWidth="1"/>
    <col min="2" max="2" width="32.33203125" style="2" customWidth="1"/>
    <col min="3" max="3" width="24.5" style="3" customWidth="1"/>
    <col min="4" max="4" width="26.83203125" style="3" bestFit="1" customWidth="1"/>
    <col min="5" max="5" width="25.08203125" style="3" bestFit="1" customWidth="1"/>
    <col min="6" max="6" width="28" style="3" bestFit="1" customWidth="1"/>
    <col min="7" max="7" width="23.58203125" style="3" bestFit="1" customWidth="1"/>
    <col min="8" max="8" width="26.5" style="3" bestFit="1" customWidth="1"/>
    <col min="9" max="16384" width="8.83203125" style="2"/>
  </cols>
  <sheetData>
    <row r="1" spans="2:9" ht="13" x14ac:dyDescent="0.3">
      <c r="B1" s="1"/>
    </row>
    <row r="2" spans="2:9" ht="18" x14ac:dyDescent="0.4">
      <c r="B2" s="6" t="s">
        <v>188</v>
      </c>
    </row>
    <row r="3" spans="2:9" ht="17.5" x14ac:dyDescent="0.35">
      <c r="B3" s="768" t="s">
        <v>937</v>
      </c>
    </row>
    <row r="4" spans="2:9" ht="13" x14ac:dyDescent="0.3">
      <c r="B4" s="9"/>
    </row>
    <row r="5" spans="2:9" ht="13" x14ac:dyDescent="0.3">
      <c r="B5" s="9" t="s">
        <v>799</v>
      </c>
      <c r="C5" s="11"/>
      <c r="D5" s="18"/>
      <c r="E5" s="22"/>
      <c r="F5" s="14"/>
      <c r="G5" s="14"/>
      <c r="H5" s="14"/>
      <c r="I5" s="10"/>
    </row>
    <row r="6" spans="2:9" ht="13" x14ac:dyDescent="0.3">
      <c r="B6" s="919" t="s">
        <v>370</v>
      </c>
      <c r="C6" s="920" t="s">
        <v>930</v>
      </c>
      <c r="D6" s="921"/>
      <c r="E6" s="922"/>
      <c r="F6" s="14"/>
      <c r="G6" s="14"/>
      <c r="H6" s="14"/>
      <c r="I6" s="10"/>
    </row>
    <row r="7" spans="2:9" ht="13" x14ac:dyDescent="0.3">
      <c r="B7" s="923" t="s">
        <v>371</v>
      </c>
      <c r="C7" s="917" t="s">
        <v>931</v>
      </c>
      <c r="D7" s="918"/>
      <c r="E7" s="924"/>
      <c r="F7" s="14"/>
      <c r="G7" s="14"/>
      <c r="H7" s="14"/>
      <c r="I7" s="10"/>
    </row>
    <row r="8" spans="2:9" ht="13" x14ac:dyDescent="0.3">
      <c r="B8" s="925" t="s">
        <v>801</v>
      </c>
      <c r="C8" s="926" t="s">
        <v>932</v>
      </c>
      <c r="D8" s="927"/>
      <c r="E8" s="928"/>
      <c r="F8" s="14"/>
      <c r="G8" s="14"/>
      <c r="H8" s="14"/>
      <c r="I8" s="10"/>
    </row>
    <row r="9" spans="2:9" ht="13" x14ac:dyDescent="0.3">
      <c r="B9" s="22"/>
      <c r="C9" s="80"/>
      <c r="E9" s="12"/>
      <c r="F9" s="14"/>
      <c r="G9" s="14"/>
      <c r="H9" s="14"/>
      <c r="I9" s="10"/>
    </row>
    <row r="10" spans="2:9" ht="13" x14ac:dyDescent="0.3">
      <c r="B10" s="13"/>
      <c r="E10" s="8"/>
    </row>
    <row r="11" spans="2:9" x14ac:dyDescent="0.25">
      <c r="B11" s="1148" t="s">
        <v>189</v>
      </c>
      <c r="C11" s="1148"/>
      <c r="D11" s="1148"/>
      <c r="E11" s="1148"/>
      <c r="F11" s="1148"/>
      <c r="G11" s="1148"/>
      <c r="H11" s="1148"/>
    </row>
    <row r="12" spans="2:9" ht="13" x14ac:dyDescent="0.3">
      <c r="B12" s="316" t="s">
        <v>938</v>
      </c>
    </row>
    <row r="13" spans="2:9" ht="13" x14ac:dyDescent="0.3">
      <c r="B13" s="19"/>
      <c r="C13" s="21"/>
      <c r="D13" s="21"/>
      <c r="E13" s="8"/>
    </row>
    <row r="14" spans="2:9" ht="15.5" x14ac:dyDescent="0.35">
      <c r="B14" s="17" t="s">
        <v>190</v>
      </c>
    </row>
    <row r="15" spans="2:9" ht="16" thickBot="1" x14ac:dyDescent="0.4">
      <c r="B15" s="904" t="s">
        <v>939</v>
      </c>
    </row>
    <row r="16" spans="2:9" s="10" customFormat="1" ht="30" customHeight="1" thickBot="1" x14ac:dyDescent="0.45">
      <c r="B16" s="929" t="s">
        <v>941</v>
      </c>
      <c r="C16" s="930" t="s">
        <v>191</v>
      </c>
      <c r="D16" s="930" t="s">
        <v>192</v>
      </c>
      <c r="E16" s="930" t="s">
        <v>193</v>
      </c>
      <c r="F16" s="933" t="s">
        <v>194</v>
      </c>
      <c r="G16" s="935" t="s">
        <v>195</v>
      </c>
      <c r="H16" s="935" t="s">
        <v>196</v>
      </c>
    </row>
    <row r="17" spans="2:8" ht="52" x14ac:dyDescent="0.3">
      <c r="B17" s="931" t="str">
        <f>'III. Datos Entrada-BE'!B120</f>
        <v>Vacas lecheras y no lecheras (en sistemas intensivos) 
Dairy and non-milking dairy cows (in intensive systems)</v>
      </c>
      <c r="C17" s="932">
        <f>'V. BE CH4-AS'!I35+'V. BE CH4-AS'!I59</f>
        <v>0</v>
      </c>
      <c r="D17" s="932">
        <f t="shared" ref="D17:D26" si="0">C17*PCG</f>
        <v>0</v>
      </c>
      <c r="E17" s="932">
        <f>'VI. BE CH4-nAS'!H19+'VI. BE CH4-nAS'!H33+'VI. BE CH4-nAS'!H47+'VI. BE CH4-nAS'!H61+'VI. BE CH4-nAS'!H75+'VI. BE CH4-nAS'!H89+'VI. BE CH4-nAS'!H103+'VI. BE CH4-nAS'!H117+'VI. BE CH4-nAS'!H131+'VI. BE CH4-nAS'!H145+'VI. BE CH4-nAS'!H159</f>
        <v>0</v>
      </c>
      <c r="F17" s="934">
        <f t="shared" ref="F17:F26" si="1">E17*PCG</f>
        <v>0</v>
      </c>
      <c r="G17" s="936">
        <f>C17+E17</f>
        <v>0</v>
      </c>
      <c r="H17" s="936">
        <f>D17+F17</f>
        <v>0</v>
      </c>
    </row>
    <row r="18" spans="2:8" ht="39" x14ac:dyDescent="0.3">
      <c r="B18" s="931" t="str">
        <f>'III. Datos Entrada-BE'!B121</f>
        <v>Novillos/Novillos (en sistemas intensivos) 
Heifers/Steers (in intensive systems)</v>
      </c>
      <c r="C18" s="932">
        <f>'V. BE CH4-AS'!I83+'V. BE CH4-AS'!I108</f>
        <v>0</v>
      </c>
      <c r="D18" s="932">
        <f t="shared" si="0"/>
        <v>0</v>
      </c>
      <c r="E18" s="932">
        <f>'VI. BE CH4-nAS'!H20+'VI. BE CH4-nAS'!H34+'VI. BE CH4-nAS'!H48+'VI. BE CH4-nAS'!H62+'VI. BE CH4-nAS'!H76+'VI. BE CH4-nAS'!H90+'VI. BE CH4-nAS'!H104+'VI. BE CH4-nAS'!H118+'VI. BE CH4-nAS'!H132+'VI. BE CH4-nAS'!H146+'VI. BE CH4-nAS'!H160</f>
        <v>0</v>
      </c>
      <c r="F18" s="934">
        <f t="shared" si="1"/>
        <v>0</v>
      </c>
      <c r="G18" s="937">
        <f>C18+E18</f>
        <v>0</v>
      </c>
      <c r="H18" s="937">
        <f t="shared" ref="G18:H26" si="2">D18+F18</f>
        <v>0</v>
      </c>
    </row>
    <row r="19" spans="2:8" ht="52" x14ac:dyDescent="0.3">
      <c r="B19" s="931" t="str">
        <f>'III. Datos Entrada-BE'!B122</f>
        <v>Novillas de reemplazo/crecimiento (en pastos o pastizales) 
Replacement/growing heifers (in pasture or rangeland)</v>
      </c>
      <c r="C19" s="932">
        <f>'V. BE CH4-AS'!I132+'V. BE CH4-AS'!I156</f>
        <v>0</v>
      </c>
      <c r="D19" s="932">
        <f t="shared" si="0"/>
        <v>0</v>
      </c>
      <c r="E19" s="932">
        <f>'VI. BE CH4-nAS'!H21+'VI. BE CH4-nAS'!H35+'VI. BE CH4-nAS'!H49+'VI. BE CH4-nAS'!H63+'VI. BE CH4-nAS'!H77+'VI. BE CH4-nAS'!H91+'VI. BE CH4-nAS'!H105+'VI. BE CH4-nAS'!H119+'VI. BE CH4-nAS'!H133+'VI. BE CH4-nAS'!H147+'VI. BE CH4-nAS'!H161</f>
        <v>0</v>
      </c>
      <c r="F19" s="934">
        <f t="shared" si="1"/>
        <v>0</v>
      </c>
      <c r="G19" s="937">
        <f t="shared" si="2"/>
        <v>0</v>
      </c>
      <c r="H19" s="937">
        <f t="shared" si="2"/>
        <v>0</v>
      </c>
    </row>
    <row r="20" spans="2:8" ht="26" x14ac:dyDescent="0.3">
      <c r="B20" s="931" t="str">
        <f>'III. Datos Entrada-BE'!B123</f>
        <v>Toros (pastoreo) 
Bulls (grazing)</v>
      </c>
      <c r="C20" s="932">
        <f>'V. BE CH4-AS'!I180+'V. BE CH4-AS'!I204</f>
        <v>0</v>
      </c>
      <c r="D20" s="932">
        <f t="shared" si="0"/>
        <v>0</v>
      </c>
      <c r="E20" s="932">
        <f>'VI. BE CH4-nAS'!H22+'VI. BE CH4-nAS'!H36+'VI. BE CH4-nAS'!H50+'VI. BE CH4-nAS'!H64+'VI. BE CH4-nAS'!H78+'VI. BE CH4-nAS'!H92+'VI. BE CH4-nAS'!H106+'VI. BE CH4-nAS'!H120+'VI. BE CH4-nAS'!H134+'VI. BE CH4-nAS'!H148+'VI. BE CH4-nAS'!H162</f>
        <v>0</v>
      </c>
      <c r="F20" s="934">
        <f t="shared" si="1"/>
        <v>0</v>
      </c>
      <c r="G20" s="937">
        <f t="shared" si="2"/>
        <v>0</v>
      </c>
      <c r="H20" s="937">
        <f t="shared" si="2"/>
        <v>0</v>
      </c>
    </row>
    <row r="21" spans="2:8" ht="52" x14ac:dyDescent="0.3">
      <c r="B21" s="931" t="str">
        <f>'III. Datos Entrada-BE'!B124</f>
        <v>Terneros (en forraje, en pastos/pastizales) 
Calves (on forage, in pasture/rangeland)</v>
      </c>
      <c r="C21" s="932">
        <f>'V. BE CH4-AS'!I227+'V. BE CH4-AS'!I252</f>
        <v>0</v>
      </c>
      <c r="D21" s="932">
        <f t="shared" si="0"/>
        <v>0</v>
      </c>
      <c r="E21" s="932">
        <f>'VI. BE CH4-nAS'!H23+'VI. BE CH4-nAS'!H37+'VI. BE CH4-nAS'!H51+'VI. BE CH4-nAS'!H65+'VI. BE CH4-nAS'!H79+'VI. BE CH4-nAS'!H93+'VI. BE CH4-nAS'!H107+'VI. BE CH4-nAS'!H121+'VI. BE CH4-nAS'!H135+'VI. BE CH4-nAS'!H149+'VI. BE CH4-nAS'!H163</f>
        <v>0</v>
      </c>
      <c r="F21" s="934">
        <f t="shared" si="1"/>
        <v>0</v>
      </c>
      <c r="G21" s="937">
        <f t="shared" si="2"/>
        <v>0</v>
      </c>
      <c r="H21" s="937">
        <f t="shared" si="2"/>
        <v>0</v>
      </c>
    </row>
    <row r="22" spans="2:8" ht="39" x14ac:dyDescent="0.3">
      <c r="B22" s="931" t="str">
        <f>'III. Datos Entrada-BE'!B125</f>
        <v>Terneros (en lechero, en pastos/pastizales) 
Calves (on milk, in pasture/rangeland)</v>
      </c>
      <c r="C22" s="932">
        <f>'V. BE CH4-AS'!I276+'V. BE CH4-AS'!I300</f>
        <v>0</v>
      </c>
      <c r="D22" s="932">
        <f t="shared" si="0"/>
        <v>0</v>
      </c>
      <c r="E22" s="932">
        <f>'VI. BE CH4-nAS'!H24+'VI. BE CH4-nAS'!H38+'VI. BE CH4-nAS'!H52+'VI. BE CH4-nAS'!H66+'VI. BE CH4-nAS'!H80+'VI. BE CH4-nAS'!H94+'VI. BE CH4-nAS'!H108+'VI. BE CH4-nAS'!H122+'VI. BE CH4-nAS'!H136+'VI. BE CH4-nAS'!H150+'VI. BE CH4-nAS'!H164</f>
        <v>0</v>
      </c>
      <c r="F22" s="934">
        <f t="shared" si="1"/>
        <v>0</v>
      </c>
      <c r="G22" s="937">
        <f t="shared" si="2"/>
        <v>0</v>
      </c>
      <c r="H22" s="937">
        <f t="shared" si="2"/>
        <v>0</v>
      </c>
    </row>
    <row r="23" spans="2:8" ht="52" x14ac:dyDescent="0.3">
      <c r="B23" s="931" t="str">
        <f>'III. Datos Entrada-BE'!B126</f>
        <v>Novillas y novillos (en pastos/pastizales)
Heifers and Steers (in pasture/rangeland)</v>
      </c>
      <c r="C23" s="932">
        <f>'V. BE CH4-AS'!I326+'V. BE CH4-AS'!I350</f>
        <v>0</v>
      </c>
      <c r="D23" s="932">
        <f t="shared" si="0"/>
        <v>0</v>
      </c>
      <c r="E23" s="932">
        <f>'VI. BE CH4-nAS'!H25+'VI. BE CH4-nAS'!H39+'VI. BE CH4-nAS'!H53+'VI. BE CH4-nAS'!H67+'VI. BE CH4-nAS'!H81+'VI. BE CH4-nAS'!H95+'VI. BE CH4-nAS'!H109+'VI. BE CH4-nAS'!H123+'VI. BE CH4-nAS'!H137+'VI. BE CH4-nAS'!H151+'VI. BE CH4-nAS'!H165</f>
        <v>0</v>
      </c>
      <c r="F23" s="934">
        <f t="shared" si="1"/>
        <v>0</v>
      </c>
      <c r="G23" s="937">
        <f t="shared" si="2"/>
        <v>0</v>
      </c>
      <c r="H23" s="937">
        <f t="shared" si="2"/>
        <v>0</v>
      </c>
    </row>
    <row r="24" spans="2:8" ht="26" x14ac:dyDescent="0.3">
      <c r="B24" s="931" t="str">
        <f>'III. Datos Entrada-BE'!B127</f>
        <v>Vacas (en pastos/pastizales) 
Cows (in pasture/rangeland)</v>
      </c>
      <c r="C24" s="932">
        <f>'V. BE CH4-AS'!I373+'V. BE CH4-AS'!I397</f>
        <v>0</v>
      </c>
      <c r="D24" s="932">
        <f t="shared" si="0"/>
        <v>0</v>
      </c>
      <c r="E24" s="932">
        <f>'VI. BE CH4-nAS'!H26+'VI. BE CH4-nAS'!H40+'VI. BE CH4-nAS'!H54+'VI. BE CH4-nAS'!H68+'VI. BE CH4-nAS'!H82+'VI. BE CH4-nAS'!H96+'VI. BE CH4-nAS'!H110+'VI. BE CH4-nAS'!H124+'VI. BE CH4-nAS'!H138+'VI. BE CH4-nAS'!H152+'VI. BE CH4-nAS'!H166</f>
        <v>0</v>
      </c>
      <c r="F24" s="934">
        <f t="shared" si="1"/>
        <v>0</v>
      </c>
      <c r="G24" s="937">
        <f t="shared" si="2"/>
        <v>0</v>
      </c>
      <c r="H24" s="937">
        <f t="shared" si="2"/>
        <v>0</v>
      </c>
    </row>
    <row r="25" spans="2:8" ht="26" x14ac:dyDescent="0.3">
      <c r="B25" s="931" t="str">
        <f>'III. Datos Entrada-BE'!B128</f>
        <v>Cerdos de vivero 
Nursery swine</v>
      </c>
      <c r="C25" s="932">
        <f>'V. BE CH4-AS'!I421+'V. BE CH4-AS'!I445</f>
        <v>0</v>
      </c>
      <c r="D25" s="932">
        <f t="shared" si="0"/>
        <v>0</v>
      </c>
      <c r="E25" s="932">
        <f>'VI. BE CH4-nAS'!H27+'VI. BE CH4-nAS'!H41+'VI. BE CH4-nAS'!H55+'VI. BE CH4-nAS'!H69+'VI. BE CH4-nAS'!H83+'VI. BE CH4-nAS'!H97+'VI. BE CH4-nAS'!H111+'VI. BE CH4-nAS'!H125+'VI. BE CH4-nAS'!H139+'VI. BE CH4-nAS'!H153+'VI. BE CH4-nAS'!H167</f>
        <v>0</v>
      </c>
      <c r="F25" s="934">
        <f t="shared" si="1"/>
        <v>0</v>
      </c>
      <c r="G25" s="937">
        <f t="shared" si="2"/>
        <v>0</v>
      </c>
      <c r="H25" s="937">
        <f t="shared" si="2"/>
        <v>0</v>
      </c>
    </row>
    <row r="26" spans="2:8" ht="26.5" thickBot="1" x14ac:dyDescent="0.35">
      <c r="B26" s="931" t="str">
        <f>'III. Datos Entrada-BE'!B129</f>
        <v>Cerdos en crecimiento 
Growing swine</v>
      </c>
      <c r="C26" s="932">
        <f>'V. BE CH4-AS'!I469+'V. BE CH4-AS'!I493</f>
        <v>0</v>
      </c>
      <c r="D26" s="932">
        <f t="shared" si="0"/>
        <v>0</v>
      </c>
      <c r="E26" s="932">
        <f>'VI. BE CH4-nAS'!H28+'VI. BE CH4-nAS'!H42+'VI. BE CH4-nAS'!H56+'VI. BE CH4-nAS'!H70+'VI. BE CH4-nAS'!H84+'VI. BE CH4-nAS'!H98+'VI. BE CH4-nAS'!H112+'VI. BE CH4-nAS'!H126+'VI. BE CH4-nAS'!H140+'VI. BE CH4-nAS'!H154+'VI. BE CH4-nAS'!H168</f>
        <v>0</v>
      </c>
      <c r="F26" s="934">
        <f t="shared" si="1"/>
        <v>0</v>
      </c>
      <c r="G26" s="938">
        <f t="shared" si="2"/>
        <v>0</v>
      </c>
      <c r="H26" s="938">
        <f t="shared" si="2"/>
        <v>0</v>
      </c>
    </row>
    <row r="27" spans="2:8" ht="13" x14ac:dyDescent="0.3">
      <c r="B27" s="9"/>
    </row>
    <row r="28" spans="2:8" ht="15.5" x14ac:dyDescent="0.35">
      <c r="B28" s="17" t="s">
        <v>197</v>
      </c>
    </row>
    <row r="29" spans="2:8" ht="16" thickBot="1" x14ac:dyDescent="0.4">
      <c r="B29" s="754" t="s">
        <v>940</v>
      </c>
    </row>
    <row r="30" spans="2:8" s="207" customFormat="1" ht="39" x14ac:dyDescent="0.4">
      <c r="B30" s="857" t="s">
        <v>942</v>
      </c>
      <c r="C30" s="943" t="s">
        <v>198</v>
      </c>
      <c r="D30" s="944" t="s">
        <v>199</v>
      </c>
      <c r="E30" s="259"/>
      <c r="F30" s="1083" t="s">
        <v>943</v>
      </c>
      <c r="G30" s="1109"/>
      <c r="H30" s="1110"/>
    </row>
    <row r="31" spans="2:8" ht="13" x14ac:dyDescent="0.3">
      <c r="B31" s="941">
        <f>'III. Datos Entrada-BE'!B136</f>
        <v>0</v>
      </c>
      <c r="C31" s="939">
        <f>'V. BE CH4-AS'!I35+'V. BE CH4-AS'!I83+'V. BE CH4-AS'!I132+'V. BE CH4-AS'!I180+'V. BE CH4-AS'!I227+'V. BE CH4-AS'!I276+'V. BE CH4-AS'!I326+'V. BE CH4-AS'!I373+'V. BE CH4-AS'!I421+'V. BE CH4-AS'!I469</f>
        <v>0</v>
      </c>
      <c r="D31" s="945">
        <f t="shared" ref="D31:D43" si="3">C31*PCG</f>
        <v>0</v>
      </c>
      <c r="F31" s="1107"/>
      <c r="G31" s="1111"/>
      <c r="H31" s="1112"/>
    </row>
    <row r="32" spans="2:8" ht="13" x14ac:dyDescent="0.3">
      <c r="B32" s="941">
        <f>'III. Datos Entrada-BE'!B137</f>
        <v>0</v>
      </c>
      <c r="C32" s="939">
        <f>'V. BE CH4-AS'!I493+'V. BE CH4-AS'!I445+'V. BE CH4-AS'!I397+'V. BE CH4-AS'!I350+'V. BE CH4-AS'!I300+'V. BE CH4-AS'!I252+'V. BE CH4-AS'!I204+'V. BE CH4-AS'!I156+'V. BE CH4-AS'!I108+'V. BE CH4-AS'!I59</f>
        <v>0</v>
      </c>
      <c r="D32" s="945">
        <f t="shared" si="3"/>
        <v>0</v>
      </c>
      <c r="F32" s="1107"/>
      <c r="G32" s="1111"/>
      <c r="H32" s="1112"/>
    </row>
    <row r="33" spans="2:8" ht="13" x14ac:dyDescent="0.3">
      <c r="B33" s="941">
        <f>'III. Datos Entrada-BE'!C136</f>
        <v>0</v>
      </c>
      <c r="C33" s="939">
        <f>'VI. BE CH4-nAS'!H29</f>
        <v>0</v>
      </c>
      <c r="D33" s="945">
        <f t="shared" si="3"/>
        <v>0</v>
      </c>
      <c r="F33" s="1107"/>
      <c r="G33" s="1111"/>
      <c r="H33" s="1112"/>
    </row>
    <row r="34" spans="2:8" ht="13" x14ac:dyDescent="0.3">
      <c r="B34" s="941">
        <f>'III. Datos Entrada-BE'!C137</f>
        <v>0</v>
      </c>
      <c r="C34" s="939">
        <f>'VI. BE CH4-nAS'!H43</f>
        <v>0</v>
      </c>
      <c r="D34" s="945">
        <f t="shared" si="3"/>
        <v>0</v>
      </c>
      <c r="F34" s="1107"/>
      <c r="G34" s="1111"/>
      <c r="H34" s="1112"/>
    </row>
    <row r="35" spans="2:8" ht="13" x14ac:dyDescent="0.3">
      <c r="B35" s="941">
        <f>'III. Datos Entrada-BE'!C138</f>
        <v>0</v>
      </c>
      <c r="C35" s="939">
        <f>'VI. BE CH4-nAS'!H57</f>
        <v>0</v>
      </c>
      <c r="D35" s="945">
        <f t="shared" si="3"/>
        <v>0</v>
      </c>
      <c r="F35" s="1107"/>
      <c r="G35" s="1111"/>
      <c r="H35" s="1112"/>
    </row>
    <row r="36" spans="2:8" ht="13" x14ac:dyDescent="0.3">
      <c r="B36" s="941">
        <f>'III. Datos Entrada-BE'!C139</f>
        <v>0</v>
      </c>
      <c r="C36" s="939">
        <f>'VI. BE CH4-nAS'!H71</f>
        <v>0</v>
      </c>
      <c r="D36" s="945">
        <f t="shared" si="3"/>
        <v>0</v>
      </c>
      <c r="F36" s="1107"/>
      <c r="G36" s="1111"/>
      <c r="H36" s="1112"/>
    </row>
    <row r="37" spans="2:8" ht="13" x14ac:dyDescent="0.3">
      <c r="B37" s="941">
        <f>'III. Datos Entrada-BE'!C140</f>
        <v>0</v>
      </c>
      <c r="C37" s="939">
        <f>'VI. BE CH4-nAS'!H85</f>
        <v>0</v>
      </c>
      <c r="D37" s="945">
        <f t="shared" si="3"/>
        <v>0</v>
      </c>
      <c r="F37" s="1107"/>
      <c r="G37" s="1111"/>
      <c r="H37" s="1112"/>
    </row>
    <row r="38" spans="2:8" ht="13" x14ac:dyDescent="0.3">
      <c r="B38" s="941">
        <f>'III. Datos Entrada-BE'!C141</f>
        <v>0</v>
      </c>
      <c r="C38" s="939">
        <f>'VI. BE CH4-nAS'!H99</f>
        <v>0</v>
      </c>
      <c r="D38" s="945">
        <f t="shared" si="3"/>
        <v>0</v>
      </c>
      <c r="F38" s="1107"/>
      <c r="G38" s="1111"/>
      <c r="H38" s="1112"/>
    </row>
    <row r="39" spans="2:8" ht="13" x14ac:dyDescent="0.3">
      <c r="B39" s="941">
        <f>'III. Datos Entrada-BE'!C142</f>
        <v>0</v>
      </c>
      <c r="C39" s="939">
        <f>'VI. BE CH4-nAS'!H113</f>
        <v>0</v>
      </c>
      <c r="D39" s="945">
        <f t="shared" si="3"/>
        <v>0</v>
      </c>
      <c r="F39" s="1107"/>
      <c r="G39" s="1111"/>
      <c r="H39" s="1112"/>
    </row>
    <row r="40" spans="2:8" ht="13" x14ac:dyDescent="0.3">
      <c r="B40" s="941">
        <f>'III. Datos Entrada-BE'!C143</f>
        <v>0</v>
      </c>
      <c r="C40" s="939">
        <f>'VI. BE CH4-nAS'!H127</f>
        <v>0</v>
      </c>
      <c r="D40" s="945">
        <f t="shared" si="3"/>
        <v>0</v>
      </c>
      <c r="F40" s="1107"/>
      <c r="G40" s="1111"/>
      <c r="H40" s="1112"/>
    </row>
    <row r="41" spans="2:8" ht="13" x14ac:dyDescent="0.3">
      <c r="B41" s="941">
        <f>'III. Datos Entrada-BE'!C144</f>
        <v>0</v>
      </c>
      <c r="C41" s="939">
        <f>'VI. BE CH4-nAS'!H141</f>
        <v>0</v>
      </c>
      <c r="D41" s="945">
        <f t="shared" si="3"/>
        <v>0</v>
      </c>
      <c r="F41" s="1107"/>
      <c r="G41" s="1111"/>
      <c r="H41" s="1112"/>
    </row>
    <row r="42" spans="2:8" ht="13" x14ac:dyDescent="0.3">
      <c r="B42" s="941">
        <f>'III. Datos Entrada-BE'!C145</f>
        <v>0</v>
      </c>
      <c r="C42" s="939">
        <f>'VI. BE CH4-nAS'!H155</f>
        <v>0</v>
      </c>
      <c r="D42" s="945">
        <f t="shared" si="3"/>
        <v>0</v>
      </c>
      <c r="F42" s="1107"/>
      <c r="G42" s="1111"/>
      <c r="H42" s="1112"/>
    </row>
    <row r="43" spans="2:8" ht="13.5" thickBot="1" x14ac:dyDescent="0.35">
      <c r="B43" s="942">
        <f>'III. Datos Entrada-BE'!C146</f>
        <v>0</v>
      </c>
      <c r="C43" s="940">
        <f>'VI. BE CH4-nAS'!H169</f>
        <v>0</v>
      </c>
      <c r="D43" s="946">
        <f t="shared" si="3"/>
        <v>0</v>
      </c>
      <c r="F43" s="1107"/>
      <c r="G43" s="1111"/>
      <c r="H43" s="1112"/>
    </row>
    <row r="44" spans="2:8" ht="13" x14ac:dyDescent="0.3">
      <c r="B44" s="9"/>
      <c r="C44" s="80"/>
      <c r="F44" s="1107"/>
      <c r="G44" s="1111"/>
      <c r="H44" s="1112"/>
    </row>
    <row r="45" spans="2:8" ht="15.5" x14ac:dyDescent="0.35">
      <c r="B45" s="17" t="s">
        <v>200</v>
      </c>
      <c r="F45" s="1107"/>
      <c r="G45" s="1111"/>
      <c r="H45" s="1112"/>
    </row>
    <row r="46" spans="2:8" ht="14" thickBot="1" x14ac:dyDescent="0.4">
      <c r="B46" s="1240" t="s">
        <v>944</v>
      </c>
      <c r="C46" s="1148"/>
      <c r="D46" s="1148"/>
      <c r="E46" s="21"/>
      <c r="F46" s="1107"/>
      <c r="G46" s="1111"/>
      <c r="H46" s="1112"/>
    </row>
    <row r="47" spans="2:8" s="9" customFormat="1" ht="16.5" thickBot="1" x14ac:dyDescent="0.45">
      <c r="B47" s="237" t="s">
        <v>201</v>
      </c>
      <c r="C47" s="238">
        <f>SUM(C31:C43)</f>
        <v>0</v>
      </c>
      <c r="D47" s="84" t="s">
        <v>31</v>
      </c>
      <c r="E47" s="84"/>
      <c r="F47" s="1107"/>
      <c r="G47" s="1111"/>
      <c r="H47" s="1112"/>
    </row>
    <row r="48" spans="2:8" s="9" customFormat="1" ht="16.5" thickBot="1" x14ac:dyDescent="0.45">
      <c r="B48" s="239" t="s">
        <v>199</v>
      </c>
      <c r="C48" s="240">
        <f>SUM(D31:D43)</f>
        <v>0</v>
      </c>
      <c r="D48" s="78" t="s">
        <v>33</v>
      </c>
      <c r="E48" s="8"/>
      <c r="F48" s="1107"/>
      <c r="G48" s="1111"/>
      <c r="H48" s="1112"/>
    </row>
    <row r="49" spans="6:8" ht="13" thickBot="1" x14ac:dyDescent="0.3">
      <c r="F49" s="1113"/>
      <c r="G49" s="1114"/>
      <c r="H49" s="1115"/>
    </row>
  </sheetData>
  <sheetProtection algorithmName="SHA-512" hashValue="wVPHt6br5WOpWeCCwH9V/QVyRPnzNvKLEwPQdZxVUu8ELgQTNU3Zfq/NZO4+HMrcw1Z2gBylAw3BoBlmUSWnOQ==" saltValue="nBM1V4d+XkWZ4H79dr5ewA==" spinCount="100000" sheet="1" objects="1" scenarios="1"/>
  <mergeCells count="3">
    <mergeCell ref="B11:H11"/>
    <mergeCell ref="F30:H49"/>
    <mergeCell ref="B46:D4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37"/>
  <sheetViews>
    <sheetView showGridLines="0" zoomScale="80" zoomScaleNormal="80" workbookViewId="0">
      <selection activeCell="B5" sqref="B5:G8"/>
    </sheetView>
  </sheetViews>
  <sheetFormatPr defaultColWidth="8.83203125" defaultRowHeight="12.5" x14ac:dyDescent="0.25"/>
  <cols>
    <col min="1" max="1" width="3.5" style="2" customWidth="1"/>
    <col min="2" max="2" width="25" style="2" customWidth="1"/>
    <col min="3" max="3" width="8.33203125" style="2" bestFit="1" customWidth="1"/>
    <col min="4" max="4" width="9.5" style="2" bestFit="1" customWidth="1"/>
    <col min="5" max="5" width="15.58203125" style="3" bestFit="1" customWidth="1"/>
    <col min="6" max="6" width="12.5" style="2" bestFit="1" customWidth="1"/>
    <col min="7" max="7" width="29.08203125" style="2" bestFit="1" customWidth="1"/>
    <col min="8" max="9" width="10.08203125" style="3" bestFit="1" customWidth="1"/>
    <col min="10" max="10" width="16.33203125" style="2" bestFit="1" customWidth="1"/>
    <col min="11" max="11" width="17.08203125" style="2" bestFit="1" customWidth="1"/>
    <col min="12" max="12" width="16.33203125" style="2" bestFit="1" customWidth="1"/>
    <col min="13" max="13" width="17.08203125" style="2" bestFit="1" customWidth="1"/>
    <col min="14" max="16384" width="8.83203125" style="2"/>
  </cols>
  <sheetData>
    <row r="1" spans="2:16" ht="13" x14ac:dyDescent="0.3">
      <c r="B1" s="1"/>
    </row>
    <row r="2" spans="2:16" ht="18" x14ac:dyDescent="0.4">
      <c r="B2" s="6" t="s">
        <v>202</v>
      </c>
      <c r="C2" s="9"/>
      <c r="D2" s="9"/>
    </row>
    <row r="3" spans="2:16" ht="15.5" x14ac:dyDescent="0.35">
      <c r="B3" s="754" t="s">
        <v>946</v>
      </c>
      <c r="C3" s="9"/>
      <c r="D3" s="9"/>
    </row>
    <row r="4" spans="2:16" ht="15.5" x14ac:dyDescent="0.35">
      <c r="B4" s="754"/>
      <c r="C4" s="9"/>
      <c r="D4" s="9"/>
    </row>
    <row r="5" spans="2:16" ht="13" x14ac:dyDescent="0.3">
      <c r="B5" s="9" t="s">
        <v>799</v>
      </c>
      <c r="C5" s="11"/>
      <c r="D5" s="18"/>
      <c r="E5" s="22"/>
      <c r="F5" s="18"/>
      <c r="G5" s="10"/>
      <c r="H5" s="141"/>
      <c r="I5" s="207"/>
      <c r="J5" s="207"/>
      <c r="K5" s="207"/>
      <c r="L5" s="207"/>
    </row>
    <row r="6" spans="2:16" ht="13" x14ac:dyDescent="0.3">
      <c r="B6" s="971" t="s">
        <v>370</v>
      </c>
      <c r="C6" s="920" t="s">
        <v>930</v>
      </c>
      <c r="D6" s="921"/>
      <c r="E6" s="921"/>
      <c r="F6" s="921"/>
      <c r="G6" s="922"/>
      <c r="H6" s="207"/>
      <c r="I6" s="207"/>
      <c r="J6" s="207"/>
      <c r="K6" s="207"/>
      <c r="L6" s="207"/>
    </row>
    <row r="7" spans="2:16" ht="13" x14ac:dyDescent="0.3">
      <c r="B7" s="972" t="s">
        <v>371</v>
      </c>
      <c r="C7" s="917" t="s">
        <v>931</v>
      </c>
      <c r="D7" s="918"/>
      <c r="E7" s="918"/>
      <c r="F7" s="918"/>
      <c r="G7" s="924"/>
      <c r="H7" s="207"/>
      <c r="I7" s="207"/>
      <c r="J7" s="207"/>
      <c r="K7" s="207"/>
      <c r="L7" s="207"/>
    </row>
    <row r="8" spans="2:16" ht="13" x14ac:dyDescent="0.3">
      <c r="B8" s="973" t="s">
        <v>801</v>
      </c>
      <c r="C8" s="926" t="s">
        <v>932</v>
      </c>
      <c r="D8" s="927"/>
      <c r="E8" s="927"/>
      <c r="F8" s="927"/>
      <c r="G8" s="928"/>
      <c r="H8" s="207"/>
      <c r="J8" s="207"/>
      <c r="K8" s="207"/>
      <c r="L8" s="207"/>
    </row>
    <row r="9" spans="2:16" x14ac:dyDescent="0.25">
      <c r="B9" s="11"/>
      <c r="C9" s="11"/>
      <c r="D9" s="11"/>
      <c r="E9" s="80"/>
      <c r="F9" s="18"/>
      <c r="G9" s="10"/>
      <c r="H9" s="207"/>
      <c r="I9" s="207"/>
      <c r="J9" s="207"/>
      <c r="K9" s="207"/>
      <c r="L9" s="207"/>
    </row>
    <row r="10" spans="2:16" ht="15.5" x14ac:dyDescent="0.35">
      <c r="B10" s="242" t="s">
        <v>205</v>
      </c>
      <c r="C10" s="107"/>
      <c r="D10" s="107"/>
    </row>
    <row r="11" spans="2:16" ht="15.5" x14ac:dyDescent="0.35">
      <c r="B11" s="759" t="s">
        <v>947</v>
      </c>
      <c r="C11" s="107"/>
      <c r="D11" s="107"/>
    </row>
    <row r="12" spans="2:16" ht="13" x14ac:dyDescent="0.3">
      <c r="B12" s="947" t="s">
        <v>206</v>
      </c>
      <c r="C12" s="125"/>
      <c r="D12" s="125"/>
    </row>
    <row r="13" spans="2:16" ht="13" x14ac:dyDescent="0.3">
      <c r="B13" s="974" t="s">
        <v>948</v>
      </c>
      <c r="C13" s="947"/>
      <c r="D13" s="947"/>
      <c r="E13" s="947"/>
      <c r="F13" s="947"/>
      <c r="G13" s="947"/>
      <c r="H13" s="947"/>
      <c r="I13" s="947"/>
      <c r="J13" s="20"/>
      <c r="K13" s="20"/>
      <c r="L13" s="20"/>
      <c r="P13" s="18"/>
    </row>
    <row r="14" spans="2:16" ht="13.5" thickBot="1" x14ac:dyDescent="0.35">
      <c r="B14" s="974"/>
      <c r="C14" s="947"/>
      <c r="D14" s="947"/>
      <c r="E14" s="947"/>
      <c r="F14" s="947"/>
      <c r="G14" s="947"/>
      <c r="H14" s="947"/>
      <c r="I14" s="947"/>
      <c r="J14" s="20"/>
      <c r="K14" s="20"/>
      <c r="L14" s="20"/>
      <c r="P14" s="18"/>
    </row>
    <row r="15" spans="2:16" s="192" customFormat="1" ht="30.5" thickBot="1" x14ac:dyDescent="0.4">
      <c r="B15" s="243" t="s">
        <v>442</v>
      </c>
      <c r="C15" s="443" t="s">
        <v>207</v>
      </c>
      <c r="D15" s="443" t="s">
        <v>208</v>
      </c>
      <c r="E15" s="443" t="s">
        <v>209</v>
      </c>
      <c r="F15" s="443" t="s">
        <v>210</v>
      </c>
      <c r="G15" s="964" t="s">
        <v>211</v>
      </c>
      <c r="H15" s="443" t="s">
        <v>212</v>
      </c>
      <c r="I15" s="441" t="s">
        <v>213</v>
      </c>
      <c r="J15" s="968" t="s">
        <v>214</v>
      </c>
      <c r="K15" s="964" t="s">
        <v>215</v>
      </c>
      <c r="L15" s="443" t="s">
        <v>216</v>
      </c>
      <c r="M15" s="442" t="s">
        <v>217</v>
      </c>
    </row>
    <row r="16" spans="2:16" x14ac:dyDescent="0.25">
      <c r="B16" s="426" t="str">
        <f>'III. Datos Entrada-BE'!B32</f>
        <v>enero</v>
      </c>
      <c r="C16" s="244">
        <f>IF('IV. Datos Entrada-PE'!$D$85="Sí",273.15,'IV. Datos Entrada-PE'!D89)</f>
        <v>273.14999999999998</v>
      </c>
      <c r="D16" s="244">
        <f>IF('IV. Datos Entrada-PE'!$D$85="Sí",1,'IV. Datos Entrada-PE'!E89)</f>
        <v>0</v>
      </c>
      <c r="E16" s="244">
        <f>'IV. Datos Entrada-PE'!F89</f>
        <v>0</v>
      </c>
      <c r="F16" s="244">
        <f>'IV. Datos Entrada-PE'!G89</f>
        <v>0</v>
      </c>
      <c r="G16" s="961">
        <f>IF('III. Datos Entrada-BE'!D32=0, 0, IF('IV. Datos Entrada-PE'!$D$76="Sí",'IV. Datos Entrada-PE'!C111,(E16*F16)*0.717*0.001*(273.15/C16)*(D16/1)))</f>
        <v>0</v>
      </c>
      <c r="H16" s="244">
        <f>'IV. Datos Entrada-PE'!C20</f>
        <v>0</v>
      </c>
      <c r="I16" s="965">
        <f>'IV. Datos Entrada-PE'!H57</f>
        <v>0</v>
      </c>
      <c r="J16" s="969" t="e">
        <f>(G16*(1/H16-I16))</f>
        <v>#DIV/0!</v>
      </c>
      <c r="K16" s="34" t="e">
        <f>J16*PCG</f>
        <v>#DIV/0!</v>
      </c>
      <c r="L16" s="962">
        <f>G16*I16</f>
        <v>0</v>
      </c>
      <c r="M16" s="963">
        <f t="shared" ref="M16:M27" si="0">L16*PCG</f>
        <v>0</v>
      </c>
    </row>
    <row r="17" spans="2:13" x14ac:dyDescent="0.25">
      <c r="B17" s="845" t="str">
        <f>'III. Datos Entrada-BE'!B33</f>
        <v>febrero</v>
      </c>
      <c r="C17" s="950">
        <f>IF('IV. Datos Entrada-PE'!$D$85="Sí",273.15,'IV. Datos Entrada-PE'!D90)</f>
        <v>273.14999999999998</v>
      </c>
      <c r="D17" s="950">
        <f>IF('IV. Datos Entrada-PE'!$D$85="Sí",1,'IV. Datos Entrada-PE'!E90)</f>
        <v>0</v>
      </c>
      <c r="E17" s="950">
        <f>'IV. Datos Entrada-PE'!F90</f>
        <v>0</v>
      </c>
      <c r="F17" s="950">
        <f>'IV. Datos Entrada-PE'!G90</f>
        <v>0</v>
      </c>
      <c r="G17" s="951">
        <f>IF('III. Datos Entrada-BE'!D33=0, 0, IF('IV. Datos Entrada-PE'!$D$76="Sí",'IV. Datos Entrada-PE'!C112,(E17*F17)*0.717*0.001*(273.15/C17)*(D17/1)))</f>
        <v>0</v>
      </c>
      <c r="H17" s="950">
        <f>'IV. Datos Entrada-PE'!C21</f>
        <v>0</v>
      </c>
      <c r="I17" s="966">
        <f>'IV. Datos Entrada-PE'!H58</f>
        <v>0</v>
      </c>
      <c r="J17" s="970" t="e">
        <f t="shared" ref="J17:J27" si="1">(G17*(1/H17-I17))</f>
        <v>#DIV/0!</v>
      </c>
      <c r="K17" s="952" t="e">
        <f t="shared" ref="K17:K27" si="2">J17*PCG</f>
        <v>#DIV/0!</v>
      </c>
      <c r="L17" s="953">
        <f t="shared" ref="L17:L27" si="3">G17*I17</f>
        <v>0</v>
      </c>
      <c r="M17" s="955">
        <f t="shared" si="0"/>
        <v>0</v>
      </c>
    </row>
    <row r="18" spans="2:13" x14ac:dyDescent="0.25">
      <c r="B18" s="845" t="str">
        <f>'III. Datos Entrada-BE'!B34</f>
        <v>marzo</v>
      </c>
      <c r="C18" s="950">
        <f>IF('IV. Datos Entrada-PE'!$D$85="Sí",273.15,'IV. Datos Entrada-PE'!D91)</f>
        <v>273.14999999999998</v>
      </c>
      <c r="D18" s="950">
        <f>IF('IV. Datos Entrada-PE'!$D$85="Sí",1,'IV. Datos Entrada-PE'!E91)</f>
        <v>0</v>
      </c>
      <c r="E18" s="950">
        <f>'IV. Datos Entrada-PE'!F91</f>
        <v>0</v>
      </c>
      <c r="F18" s="950">
        <f>'IV. Datos Entrada-PE'!G91</f>
        <v>0</v>
      </c>
      <c r="G18" s="951">
        <f>IF('III. Datos Entrada-BE'!D34=0, 0, IF('IV. Datos Entrada-PE'!$D$76="Sí",'IV. Datos Entrada-PE'!C113,(E18*F18)*0.717*0.001*(273.15/C18)*(D18/1)))</f>
        <v>0</v>
      </c>
      <c r="H18" s="950">
        <f>'IV. Datos Entrada-PE'!C22</f>
        <v>0</v>
      </c>
      <c r="I18" s="966">
        <f>'IV. Datos Entrada-PE'!H59</f>
        <v>0</v>
      </c>
      <c r="J18" s="970" t="e">
        <f t="shared" si="1"/>
        <v>#DIV/0!</v>
      </c>
      <c r="K18" s="952" t="e">
        <f t="shared" si="2"/>
        <v>#DIV/0!</v>
      </c>
      <c r="L18" s="953">
        <f t="shared" si="3"/>
        <v>0</v>
      </c>
      <c r="M18" s="955">
        <f t="shared" si="0"/>
        <v>0</v>
      </c>
    </row>
    <row r="19" spans="2:13" x14ac:dyDescent="0.25">
      <c r="B19" s="845" t="str">
        <f>'III. Datos Entrada-BE'!B35</f>
        <v>abril</v>
      </c>
      <c r="C19" s="950">
        <f>IF('IV. Datos Entrada-PE'!$D$85="Sí",273.15,'IV. Datos Entrada-PE'!D92)</f>
        <v>273.14999999999998</v>
      </c>
      <c r="D19" s="950">
        <f>IF('IV. Datos Entrada-PE'!$D$85="Sí",1,'IV. Datos Entrada-PE'!E92)</f>
        <v>0</v>
      </c>
      <c r="E19" s="950">
        <f>'IV. Datos Entrada-PE'!F92</f>
        <v>0</v>
      </c>
      <c r="F19" s="950">
        <f>'IV. Datos Entrada-PE'!G92</f>
        <v>0</v>
      </c>
      <c r="G19" s="951">
        <f>IF('III. Datos Entrada-BE'!D35=0, 0, IF('IV. Datos Entrada-PE'!$D$76="Sí",'IV. Datos Entrada-PE'!C114,(E19*F19)*0.717*0.001*(273.15/C19)*(D19/1)))</f>
        <v>0</v>
      </c>
      <c r="H19" s="950">
        <f>'IV. Datos Entrada-PE'!C23</f>
        <v>0</v>
      </c>
      <c r="I19" s="966">
        <f>'IV. Datos Entrada-PE'!H60</f>
        <v>0</v>
      </c>
      <c r="J19" s="970" t="e">
        <f t="shared" si="1"/>
        <v>#DIV/0!</v>
      </c>
      <c r="K19" s="952" t="e">
        <f t="shared" si="2"/>
        <v>#DIV/0!</v>
      </c>
      <c r="L19" s="953">
        <f t="shared" si="3"/>
        <v>0</v>
      </c>
      <c r="M19" s="955">
        <f t="shared" si="0"/>
        <v>0</v>
      </c>
    </row>
    <row r="20" spans="2:13" x14ac:dyDescent="0.25">
      <c r="B20" s="845" t="str">
        <f>'III. Datos Entrada-BE'!B36</f>
        <v>mayo</v>
      </c>
      <c r="C20" s="950">
        <f>IF('IV. Datos Entrada-PE'!$D$85="Sí",273.15,'IV. Datos Entrada-PE'!D93)</f>
        <v>273.14999999999998</v>
      </c>
      <c r="D20" s="950">
        <f>IF('IV. Datos Entrada-PE'!$D$85="Sí",1,'IV. Datos Entrada-PE'!E93)</f>
        <v>0</v>
      </c>
      <c r="E20" s="950">
        <f>'IV. Datos Entrada-PE'!F93</f>
        <v>0</v>
      </c>
      <c r="F20" s="950">
        <f>'IV. Datos Entrada-PE'!G93</f>
        <v>0</v>
      </c>
      <c r="G20" s="951">
        <f>IF('III. Datos Entrada-BE'!D36=0, 0, IF('IV. Datos Entrada-PE'!$D$76="Sí",'IV. Datos Entrada-PE'!C115,(E20*F20)*0.717*0.001*(273.15/C20)*(D20/1)))</f>
        <v>0</v>
      </c>
      <c r="H20" s="950">
        <f>'IV. Datos Entrada-PE'!C24</f>
        <v>0</v>
      </c>
      <c r="I20" s="967">
        <f>'IV. Datos Entrada-PE'!H61</f>
        <v>0</v>
      </c>
      <c r="J20" s="970" t="e">
        <f t="shared" si="1"/>
        <v>#DIV/0!</v>
      </c>
      <c r="K20" s="952" t="e">
        <f t="shared" si="2"/>
        <v>#DIV/0!</v>
      </c>
      <c r="L20" s="953">
        <f t="shared" si="3"/>
        <v>0</v>
      </c>
      <c r="M20" s="955">
        <f t="shared" si="0"/>
        <v>0</v>
      </c>
    </row>
    <row r="21" spans="2:13" x14ac:dyDescent="0.25">
      <c r="B21" s="845" t="str">
        <f>'III. Datos Entrada-BE'!B37</f>
        <v>junio</v>
      </c>
      <c r="C21" s="950">
        <f>IF('IV. Datos Entrada-PE'!$D$85="Sí",273.15,'IV. Datos Entrada-PE'!D94)</f>
        <v>273.14999999999998</v>
      </c>
      <c r="D21" s="950">
        <f>IF('IV. Datos Entrada-PE'!$D$85="Sí",1,'IV. Datos Entrada-PE'!E94)</f>
        <v>0</v>
      </c>
      <c r="E21" s="950">
        <f>'IV. Datos Entrada-PE'!F94</f>
        <v>0</v>
      </c>
      <c r="F21" s="950">
        <f>'IV. Datos Entrada-PE'!G94</f>
        <v>0</v>
      </c>
      <c r="G21" s="951">
        <f>IF('III. Datos Entrada-BE'!D37=0, 0, IF('IV. Datos Entrada-PE'!$D$76="Sí",'IV. Datos Entrada-PE'!C116,(E21*F21)*0.717*0.001*(273.15/C21)*(D21/1)))</f>
        <v>0</v>
      </c>
      <c r="H21" s="950">
        <f>'IV. Datos Entrada-PE'!C25</f>
        <v>0</v>
      </c>
      <c r="I21" s="967">
        <f>'IV. Datos Entrada-PE'!H62</f>
        <v>0</v>
      </c>
      <c r="J21" s="970" t="e">
        <f t="shared" si="1"/>
        <v>#DIV/0!</v>
      </c>
      <c r="K21" s="952" t="e">
        <f t="shared" si="2"/>
        <v>#DIV/0!</v>
      </c>
      <c r="L21" s="953">
        <f t="shared" si="3"/>
        <v>0</v>
      </c>
      <c r="M21" s="955">
        <f t="shared" si="0"/>
        <v>0</v>
      </c>
    </row>
    <row r="22" spans="2:13" x14ac:dyDescent="0.25">
      <c r="B22" s="845" t="str">
        <f>'III. Datos Entrada-BE'!B38</f>
        <v>julio</v>
      </c>
      <c r="C22" s="950">
        <f>IF('IV. Datos Entrada-PE'!$D$85="Sí",273.15,'IV. Datos Entrada-PE'!D95)</f>
        <v>273.14999999999998</v>
      </c>
      <c r="D22" s="950">
        <f>IF('IV. Datos Entrada-PE'!$D$85="Sí",1,'IV. Datos Entrada-PE'!E95)</f>
        <v>0</v>
      </c>
      <c r="E22" s="950">
        <f>'IV. Datos Entrada-PE'!F95</f>
        <v>0</v>
      </c>
      <c r="F22" s="950">
        <f>'IV. Datos Entrada-PE'!G95</f>
        <v>0</v>
      </c>
      <c r="G22" s="951">
        <f>IF('III. Datos Entrada-BE'!D38=0, 0, IF('IV. Datos Entrada-PE'!$D$76="Sí",'IV. Datos Entrada-PE'!C117,(E22*F22)*0.717*0.001*(273.15/C22)*(D22/1)))</f>
        <v>0</v>
      </c>
      <c r="H22" s="950">
        <f>'IV. Datos Entrada-PE'!C26</f>
        <v>0</v>
      </c>
      <c r="I22" s="967">
        <f>'IV. Datos Entrada-PE'!H63</f>
        <v>0</v>
      </c>
      <c r="J22" s="970" t="e">
        <f t="shared" si="1"/>
        <v>#DIV/0!</v>
      </c>
      <c r="K22" s="952" t="e">
        <f t="shared" si="2"/>
        <v>#DIV/0!</v>
      </c>
      <c r="L22" s="953">
        <f t="shared" si="3"/>
        <v>0</v>
      </c>
      <c r="M22" s="955">
        <f t="shared" si="0"/>
        <v>0</v>
      </c>
    </row>
    <row r="23" spans="2:13" x14ac:dyDescent="0.25">
      <c r="B23" s="845" t="str">
        <f>'III. Datos Entrada-BE'!B39</f>
        <v>agosto</v>
      </c>
      <c r="C23" s="950">
        <f>IF('IV. Datos Entrada-PE'!$D$85="Sí",273.15,'IV. Datos Entrada-PE'!D96)</f>
        <v>273.14999999999998</v>
      </c>
      <c r="D23" s="950">
        <f>IF('IV. Datos Entrada-PE'!$D$85="Sí",1,'IV. Datos Entrada-PE'!E96)</f>
        <v>0</v>
      </c>
      <c r="E23" s="950">
        <f>'IV. Datos Entrada-PE'!F96</f>
        <v>0</v>
      </c>
      <c r="F23" s="950">
        <f>'IV. Datos Entrada-PE'!G96</f>
        <v>0</v>
      </c>
      <c r="G23" s="951">
        <f>IF('III. Datos Entrada-BE'!D39=0, 0, IF('IV. Datos Entrada-PE'!$D$76="Sí",'IV. Datos Entrada-PE'!C118,(E23*F23)*0.717*0.001*(273.15/C23)*(D23/1)))</f>
        <v>0</v>
      </c>
      <c r="H23" s="950">
        <f>'IV. Datos Entrada-PE'!C27</f>
        <v>0</v>
      </c>
      <c r="I23" s="967">
        <f>'IV. Datos Entrada-PE'!H64</f>
        <v>0</v>
      </c>
      <c r="J23" s="970" t="e">
        <f t="shared" si="1"/>
        <v>#DIV/0!</v>
      </c>
      <c r="K23" s="952" t="e">
        <f t="shared" si="2"/>
        <v>#DIV/0!</v>
      </c>
      <c r="L23" s="953">
        <f t="shared" si="3"/>
        <v>0</v>
      </c>
      <c r="M23" s="955">
        <f t="shared" si="0"/>
        <v>0</v>
      </c>
    </row>
    <row r="24" spans="2:13" x14ac:dyDescent="0.25">
      <c r="B24" s="845" t="str">
        <f>'III. Datos Entrada-BE'!B40</f>
        <v>septiembre</v>
      </c>
      <c r="C24" s="950">
        <f>IF('IV. Datos Entrada-PE'!$D$85="Sí",273.15,'IV. Datos Entrada-PE'!D97)</f>
        <v>273.14999999999998</v>
      </c>
      <c r="D24" s="950">
        <f>IF('IV. Datos Entrada-PE'!$D$85="Sí",1,'IV. Datos Entrada-PE'!E97)</f>
        <v>0</v>
      </c>
      <c r="E24" s="950">
        <f>'IV. Datos Entrada-PE'!F97</f>
        <v>0</v>
      </c>
      <c r="F24" s="950">
        <f>'IV. Datos Entrada-PE'!G97</f>
        <v>0</v>
      </c>
      <c r="G24" s="951">
        <f>IF('III. Datos Entrada-BE'!D40=0, 0, IF('IV. Datos Entrada-PE'!$D$76="Sí",'IV. Datos Entrada-PE'!C119,(E24*F24)*0.717*0.001*(273.15/C24)*(D24/1)))</f>
        <v>0</v>
      </c>
      <c r="H24" s="950">
        <f>'IV. Datos Entrada-PE'!C28</f>
        <v>0</v>
      </c>
      <c r="I24" s="967">
        <f>'IV. Datos Entrada-PE'!H65</f>
        <v>0</v>
      </c>
      <c r="J24" s="970" t="e">
        <f t="shared" si="1"/>
        <v>#DIV/0!</v>
      </c>
      <c r="K24" s="952" t="e">
        <f t="shared" si="2"/>
        <v>#DIV/0!</v>
      </c>
      <c r="L24" s="953">
        <f t="shared" si="3"/>
        <v>0</v>
      </c>
      <c r="M24" s="955">
        <f t="shared" si="0"/>
        <v>0</v>
      </c>
    </row>
    <row r="25" spans="2:13" x14ac:dyDescent="0.25">
      <c r="B25" s="845" t="str">
        <f>'III. Datos Entrada-BE'!B41</f>
        <v>octubre</v>
      </c>
      <c r="C25" s="950">
        <f>IF('IV. Datos Entrada-PE'!$D$85="Sí",273.15,'IV. Datos Entrada-PE'!D98)</f>
        <v>273.14999999999998</v>
      </c>
      <c r="D25" s="950">
        <f>IF('IV. Datos Entrada-PE'!$D$85="Sí",1,'IV. Datos Entrada-PE'!E98)</f>
        <v>0</v>
      </c>
      <c r="E25" s="950">
        <f>'IV. Datos Entrada-PE'!F98</f>
        <v>0</v>
      </c>
      <c r="F25" s="950">
        <f>'IV. Datos Entrada-PE'!G98</f>
        <v>0</v>
      </c>
      <c r="G25" s="951">
        <f>IF('III. Datos Entrada-BE'!D41=0, 0, IF('IV. Datos Entrada-PE'!$D$76="Sí",'IV. Datos Entrada-PE'!C120,(E25*F25)*0.717*0.001*(273.15/C25)*(D25/1)))</f>
        <v>0</v>
      </c>
      <c r="H25" s="950">
        <f>'IV. Datos Entrada-PE'!C29</f>
        <v>0</v>
      </c>
      <c r="I25" s="967">
        <f>'IV. Datos Entrada-PE'!H66</f>
        <v>0</v>
      </c>
      <c r="J25" s="970" t="e">
        <f t="shared" si="1"/>
        <v>#DIV/0!</v>
      </c>
      <c r="K25" s="952" t="e">
        <f t="shared" si="2"/>
        <v>#DIV/0!</v>
      </c>
      <c r="L25" s="953">
        <f t="shared" si="3"/>
        <v>0</v>
      </c>
      <c r="M25" s="955">
        <f t="shared" si="0"/>
        <v>0</v>
      </c>
    </row>
    <row r="26" spans="2:13" x14ac:dyDescent="0.25">
      <c r="B26" s="845" t="str">
        <f>'III. Datos Entrada-BE'!B42</f>
        <v>noviembre</v>
      </c>
      <c r="C26" s="950">
        <f>IF('IV. Datos Entrada-PE'!$D$85="Sí",273.15,'IV. Datos Entrada-PE'!D99)</f>
        <v>273.14999999999998</v>
      </c>
      <c r="D26" s="950">
        <f>IF('IV. Datos Entrada-PE'!$D$85="Sí",1,'IV. Datos Entrada-PE'!E99)</f>
        <v>0</v>
      </c>
      <c r="E26" s="950">
        <f>'IV. Datos Entrada-PE'!F99</f>
        <v>0</v>
      </c>
      <c r="F26" s="950">
        <f>'IV. Datos Entrada-PE'!G99</f>
        <v>0</v>
      </c>
      <c r="G26" s="951">
        <f>IF('III. Datos Entrada-BE'!D42=0, 0, IF('IV. Datos Entrada-PE'!$D$76="Sí",'IV. Datos Entrada-PE'!C121,(E26*F26)*0.717*0.001*(273.15/C26)*(D26/1)))</f>
        <v>0</v>
      </c>
      <c r="H26" s="950">
        <f>'IV. Datos Entrada-PE'!C30</f>
        <v>0</v>
      </c>
      <c r="I26" s="967">
        <f>'IV. Datos Entrada-PE'!H67</f>
        <v>0</v>
      </c>
      <c r="J26" s="970" t="e">
        <f t="shared" si="1"/>
        <v>#DIV/0!</v>
      </c>
      <c r="K26" s="952" t="e">
        <f t="shared" si="2"/>
        <v>#DIV/0!</v>
      </c>
      <c r="L26" s="953">
        <f t="shared" si="3"/>
        <v>0</v>
      </c>
      <c r="M26" s="955">
        <f t="shared" si="0"/>
        <v>0</v>
      </c>
    </row>
    <row r="27" spans="2:13" ht="13" thickBot="1" x14ac:dyDescent="0.3">
      <c r="B27" s="846" t="str">
        <f>'III. Datos Entrada-BE'!B43</f>
        <v>diciembre</v>
      </c>
      <c r="C27" s="956">
        <f>IF('IV. Datos Entrada-PE'!$D$85="Sí",273.15,'IV. Datos Entrada-PE'!D100)</f>
        <v>273.14999999999998</v>
      </c>
      <c r="D27" s="956">
        <f>IF('IV. Datos Entrada-PE'!$D$85="Sí",1,'IV. Datos Entrada-PE'!E100)</f>
        <v>0</v>
      </c>
      <c r="E27" s="956">
        <f>'IV. Datos Entrada-PE'!F100</f>
        <v>0</v>
      </c>
      <c r="F27" s="956">
        <f>'IV. Datos Entrada-PE'!G100</f>
        <v>0</v>
      </c>
      <c r="G27" s="957">
        <f>IF('III. Datos Entrada-BE'!D43=0, 0, IF('IV. Datos Entrada-PE'!$D$76="Sí",'IV. Datos Entrada-PE'!C122,(E27*F27)*0.717*0.001*(273.15/C27)*(D27/1)))</f>
        <v>0</v>
      </c>
      <c r="H27" s="950">
        <f>'IV. Datos Entrada-PE'!C31</f>
        <v>0</v>
      </c>
      <c r="I27" s="954">
        <f>'IV. Datos Entrada-PE'!H68</f>
        <v>0</v>
      </c>
      <c r="J27" s="975" t="e">
        <f t="shared" si="1"/>
        <v>#DIV/0!</v>
      </c>
      <c r="K27" s="958" t="e">
        <f t="shared" si="2"/>
        <v>#DIV/0!</v>
      </c>
      <c r="L27" s="959">
        <f t="shared" si="3"/>
        <v>0</v>
      </c>
      <c r="M27" s="960">
        <f t="shared" si="0"/>
        <v>0</v>
      </c>
    </row>
    <row r="28" spans="2:13" ht="13.5" thickBot="1" x14ac:dyDescent="0.35">
      <c r="B28" s="27" t="s">
        <v>218</v>
      </c>
      <c r="C28" s="374"/>
      <c r="D28" s="374"/>
      <c r="E28" s="375"/>
      <c r="F28" s="396"/>
      <c r="G28" s="948">
        <f>SUM(G16:G27)</f>
        <v>0</v>
      </c>
      <c r="H28" s="14"/>
      <c r="I28" s="14"/>
      <c r="J28" s="949" t="e">
        <f>SUM(J16:J27)</f>
        <v>#DIV/0!</v>
      </c>
      <c r="K28" s="37" t="e">
        <f>SUM(K16:K27)</f>
        <v>#DIV/0!</v>
      </c>
      <c r="L28" s="37">
        <f>SUM(L16:L27)</f>
        <v>0</v>
      </c>
      <c r="M28" s="37">
        <f>SUM(M16:M27)</f>
        <v>0</v>
      </c>
    </row>
    <row r="30" spans="2:13" ht="13" thickBot="1" x14ac:dyDescent="0.3"/>
    <row r="31" spans="2:13" x14ac:dyDescent="0.25">
      <c r="B31" s="1108" t="s">
        <v>501</v>
      </c>
      <c r="C31" s="1109"/>
      <c r="D31" s="1109"/>
      <c r="E31" s="1109"/>
      <c r="F31" s="1109"/>
      <c r="G31" s="1109"/>
      <c r="H31" s="1109"/>
      <c r="I31" s="1109"/>
      <c r="J31" s="1110"/>
    </row>
    <row r="32" spans="2:13" x14ac:dyDescent="0.25">
      <c r="B32" s="1107"/>
      <c r="C32" s="1111"/>
      <c r="D32" s="1111"/>
      <c r="E32" s="1111"/>
      <c r="F32" s="1111"/>
      <c r="G32" s="1111"/>
      <c r="H32" s="1111"/>
      <c r="I32" s="1111"/>
      <c r="J32" s="1112"/>
    </row>
    <row r="33" spans="2:10" x14ac:dyDescent="0.25">
      <c r="B33" s="1107"/>
      <c r="C33" s="1111"/>
      <c r="D33" s="1111"/>
      <c r="E33" s="1111"/>
      <c r="F33" s="1111"/>
      <c r="G33" s="1111"/>
      <c r="H33" s="1111"/>
      <c r="I33" s="1111"/>
      <c r="J33" s="1112"/>
    </row>
    <row r="34" spans="2:10" x14ac:dyDescent="0.25">
      <c r="B34" s="1107"/>
      <c r="C34" s="1111"/>
      <c r="D34" s="1111"/>
      <c r="E34" s="1111"/>
      <c r="F34" s="1111"/>
      <c r="G34" s="1111"/>
      <c r="H34" s="1111"/>
      <c r="I34" s="1111"/>
      <c r="J34" s="1112"/>
    </row>
    <row r="35" spans="2:10" x14ac:dyDescent="0.25">
      <c r="B35" s="1107"/>
      <c r="C35" s="1111"/>
      <c r="D35" s="1111"/>
      <c r="E35" s="1111"/>
      <c r="F35" s="1111"/>
      <c r="G35" s="1111"/>
      <c r="H35" s="1111"/>
      <c r="I35" s="1111"/>
      <c r="J35" s="1112"/>
    </row>
    <row r="36" spans="2:10" x14ac:dyDescent="0.25">
      <c r="B36" s="1107"/>
      <c r="C36" s="1111"/>
      <c r="D36" s="1111"/>
      <c r="E36" s="1111"/>
      <c r="F36" s="1111"/>
      <c r="G36" s="1111"/>
      <c r="H36" s="1111"/>
      <c r="I36" s="1111"/>
      <c r="J36" s="1112"/>
    </row>
    <row r="37" spans="2:10" ht="13" thickBot="1" x14ac:dyDescent="0.3">
      <c r="B37" s="1113"/>
      <c r="C37" s="1114"/>
      <c r="D37" s="1114"/>
      <c r="E37" s="1114"/>
      <c r="F37" s="1114"/>
      <c r="G37" s="1114"/>
      <c r="H37" s="1114"/>
      <c r="I37" s="1114"/>
      <c r="J37" s="1115"/>
    </row>
  </sheetData>
  <sheetProtection algorithmName="SHA-512" hashValue="liheT3E/Y6SfuTkb8pojBAbFKZw1zERP93XLuck6D5v8SDQZkmPYnNasi0zrmIyL4nJiJW0dOzXX4qpFNzztqw==" saltValue="TDDhqi1frf0z7JyKSfHzZQ==" spinCount="100000" sheet="1" objects="1" scenarios="1"/>
  <mergeCells count="1">
    <mergeCell ref="B31:J3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41"/>
  <sheetViews>
    <sheetView showGridLines="0" topLeftCell="A11" zoomScale="80" zoomScaleNormal="80" workbookViewId="0">
      <selection activeCell="C20" sqref="C20"/>
    </sheetView>
  </sheetViews>
  <sheetFormatPr defaultColWidth="8.83203125" defaultRowHeight="12.5" x14ac:dyDescent="0.25"/>
  <cols>
    <col min="1" max="1" width="4" style="2" customWidth="1"/>
    <col min="2" max="2" width="23.5" style="2" customWidth="1"/>
    <col min="3" max="3" width="33.58203125" style="2" bestFit="1" customWidth="1"/>
    <col min="4" max="4" width="12.83203125" style="2" bestFit="1" customWidth="1"/>
    <col min="5" max="5" width="8.5" style="2" bestFit="1" customWidth="1"/>
    <col min="6" max="6" width="15.08203125" style="2" bestFit="1" customWidth="1"/>
    <col min="7" max="7" width="18.83203125" style="2" bestFit="1" customWidth="1"/>
    <col min="8" max="8" width="8.5" style="2" bestFit="1" customWidth="1"/>
    <col min="9" max="9" width="21.5" style="2" bestFit="1" customWidth="1"/>
    <col min="10" max="16384" width="8.83203125" style="2"/>
  </cols>
  <sheetData>
    <row r="1" spans="2:12" ht="13" x14ac:dyDescent="0.3">
      <c r="B1" s="1"/>
      <c r="F1" s="10"/>
    </row>
    <row r="2" spans="2:12" ht="18" x14ac:dyDescent="0.4">
      <c r="B2" s="6" t="s">
        <v>219</v>
      </c>
      <c r="F2" s="10"/>
    </row>
    <row r="3" spans="2:12" s="316" customFormat="1" ht="17.5" x14ac:dyDescent="0.35">
      <c r="B3" s="768" t="s">
        <v>949</v>
      </c>
      <c r="F3" s="755"/>
    </row>
    <row r="4" spans="2:12" ht="13" x14ac:dyDescent="0.3">
      <c r="B4" s="9"/>
      <c r="F4" s="10"/>
    </row>
    <row r="5" spans="2:12" ht="13" x14ac:dyDescent="0.3">
      <c r="B5" s="9" t="s">
        <v>799</v>
      </c>
      <c r="C5" s="11"/>
      <c r="D5" s="18"/>
      <c r="E5" s="10"/>
      <c r="F5" s="10"/>
      <c r="G5" s="10"/>
      <c r="H5" s="10"/>
      <c r="I5" s="10"/>
    </row>
    <row r="6" spans="2:12" ht="13" x14ac:dyDescent="0.3">
      <c r="B6" s="971" t="s">
        <v>370</v>
      </c>
      <c r="C6" s="920" t="s">
        <v>930</v>
      </c>
      <c r="D6" s="921"/>
      <c r="E6" s="921"/>
      <c r="F6" s="921"/>
      <c r="G6" s="922"/>
      <c r="H6" s="11"/>
      <c r="I6" s="18"/>
      <c r="J6" s="22"/>
      <c r="K6" s="18"/>
      <c r="L6" s="10"/>
    </row>
    <row r="7" spans="2:12" ht="13" x14ac:dyDescent="0.3">
      <c r="B7" s="972" t="s">
        <v>371</v>
      </c>
      <c r="C7" s="917" t="s">
        <v>931</v>
      </c>
      <c r="D7" s="918"/>
      <c r="E7" s="918"/>
      <c r="F7" s="918"/>
      <c r="G7" s="924"/>
    </row>
    <row r="8" spans="2:12" ht="13" x14ac:dyDescent="0.3">
      <c r="B8" s="976" t="s">
        <v>400</v>
      </c>
      <c r="C8" s="1242" t="s">
        <v>917</v>
      </c>
      <c r="D8" s="1242"/>
      <c r="E8" s="1242"/>
      <c r="F8" s="1242"/>
      <c r="G8" s="1243"/>
    </row>
    <row r="9" spans="2:12" ht="13" x14ac:dyDescent="0.3">
      <c r="B9" s="973" t="s">
        <v>801</v>
      </c>
      <c r="C9" s="926" t="s">
        <v>932</v>
      </c>
      <c r="D9" s="927"/>
      <c r="E9" s="927"/>
      <c r="F9" s="927"/>
      <c r="G9" s="928"/>
    </row>
    <row r="10" spans="2:12" x14ac:dyDescent="0.25">
      <c r="F10" s="10"/>
      <c r="G10" s="10"/>
      <c r="H10" s="10"/>
      <c r="I10" s="10"/>
    </row>
    <row r="11" spans="2:12" ht="13" x14ac:dyDescent="0.25">
      <c r="B11" s="245" t="s">
        <v>220</v>
      </c>
      <c r="F11" s="10"/>
    </row>
    <row r="12" spans="2:12" ht="13" x14ac:dyDescent="0.3">
      <c r="B12" s="974" t="s">
        <v>950</v>
      </c>
      <c r="F12" s="10"/>
    </row>
    <row r="13" spans="2:12" ht="13" x14ac:dyDescent="0.3">
      <c r="B13" s="974"/>
      <c r="F13" s="10"/>
    </row>
    <row r="14" spans="2:12" ht="15.5" x14ac:dyDescent="0.35">
      <c r="B14" s="242" t="s">
        <v>221</v>
      </c>
      <c r="F14" s="10"/>
    </row>
    <row r="15" spans="2:12" ht="15.5" x14ac:dyDescent="0.35">
      <c r="B15" s="977" t="s">
        <v>951</v>
      </c>
      <c r="F15" s="10"/>
    </row>
    <row r="16" spans="2:12" ht="15.5" x14ac:dyDescent="0.35">
      <c r="B16" s="242"/>
      <c r="F16" s="10"/>
    </row>
    <row r="17" spans="2:9" ht="29.5" customHeight="1" x14ac:dyDescent="0.25">
      <c r="B17" s="1241" t="s">
        <v>222</v>
      </c>
      <c r="C17" s="1136"/>
      <c r="D17" s="1136"/>
      <c r="E17" s="1136"/>
      <c r="F17" s="1136"/>
      <c r="G17" s="1136"/>
      <c r="H17" s="1136"/>
      <c r="I17" s="1136"/>
    </row>
    <row r="18" spans="2:9" ht="37" customHeight="1" thickBot="1" x14ac:dyDescent="0.3">
      <c r="B18" s="1244" t="s">
        <v>952</v>
      </c>
      <c r="C18" s="1244"/>
      <c r="D18" s="1244"/>
      <c r="E18" s="1244"/>
      <c r="F18" s="1244"/>
      <c r="G18" s="1244"/>
      <c r="H18" s="1244"/>
      <c r="I18" s="1244"/>
    </row>
    <row r="19" spans="2:9" s="22" customFormat="1" ht="47" thickBot="1" x14ac:dyDescent="0.45">
      <c r="B19" s="839" t="s">
        <v>442</v>
      </c>
      <c r="C19" s="269" t="s">
        <v>130</v>
      </c>
      <c r="D19" s="71" t="s">
        <v>223</v>
      </c>
      <c r="E19" s="325" t="s">
        <v>132</v>
      </c>
      <c r="F19" s="269" t="s">
        <v>953</v>
      </c>
      <c r="G19" s="325" t="s">
        <v>954</v>
      </c>
      <c r="H19" s="352" t="s">
        <v>224</v>
      </c>
      <c r="I19" s="352" t="s">
        <v>225</v>
      </c>
    </row>
    <row r="20" spans="2:9" s="22" customFormat="1" ht="13" x14ac:dyDescent="0.3">
      <c r="B20" s="978" t="str">
        <f>'VIII. PE CH4(BCS)'!B16</f>
        <v>enero</v>
      </c>
      <c r="C20" s="589">
        <f>'IV. Datos Entrada-PE'!C131</f>
        <v>0</v>
      </c>
      <c r="D20" s="590">
        <f>'IV. Datos Entrada-PE'!D131</f>
        <v>0</v>
      </c>
      <c r="E20" s="590">
        <f>'IV. Datos Entrada-PE'!E131</f>
        <v>0</v>
      </c>
      <c r="F20" s="591">
        <v>0.71699999999999997</v>
      </c>
      <c r="G20" s="686">
        <v>1E-3</v>
      </c>
      <c r="H20" s="592">
        <f>(C20+(D20*E20))*F20*G20*'VIII. PE CH4(BCS)'!F16</f>
        <v>0</v>
      </c>
      <c r="I20" s="592">
        <f t="shared" ref="I20:I31" si="0">H20*PCG</f>
        <v>0</v>
      </c>
    </row>
    <row r="21" spans="2:9" s="22" customFormat="1" ht="13" x14ac:dyDescent="0.3">
      <c r="B21" s="978" t="str">
        <f>'VIII. PE CH4(BCS)'!B17</f>
        <v>febrero</v>
      </c>
      <c r="C21" s="248">
        <f>'IV. Datos Entrada-PE'!C132</f>
        <v>0</v>
      </c>
      <c r="D21" s="249">
        <f>'IV. Datos Entrada-PE'!D132</f>
        <v>0</v>
      </c>
      <c r="E21" s="249">
        <f>'IV. Datos Entrada-PE'!E132</f>
        <v>0</v>
      </c>
      <c r="F21" s="250">
        <v>0.71699999999999997</v>
      </c>
      <c r="G21" s="251">
        <v>1E-3</v>
      </c>
      <c r="H21" s="252">
        <f>(C21+(D21*E21))*F21*G21*'VIII. PE CH4(BCS)'!F17</f>
        <v>0</v>
      </c>
      <c r="I21" s="592">
        <f t="shared" si="0"/>
        <v>0</v>
      </c>
    </row>
    <row r="22" spans="2:9" s="22" customFormat="1" ht="13" x14ac:dyDescent="0.3">
      <c r="B22" s="978" t="str">
        <f>'VIII. PE CH4(BCS)'!B18</f>
        <v>marzo</v>
      </c>
      <c r="C22" s="248">
        <f>'IV. Datos Entrada-PE'!C133</f>
        <v>0</v>
      </c>
      <c r="D22" s="249">
        <f>'IV. Datos Entrada-PE'!D133</f>
        <v>0</v>
      </c>
      <c r="E22" s="249">
        <f>'IV. Datos Entrada-PE'!E133</f>
        <v>0</v>
      </c>
      <c r="F22" s="250">
        <v>0.71699999999999997</v>
      </c>
      <c r="G22" s="251">
        <v>1E-3</v>
      </c>
      <c r="H22" s="252">
        <f>(C22+(D22*E22))*F22*G22*'VIII. PE CH4(BCS)'!F18</f>
        <v>0</v>
      </c>
      <c r="I22" s="592">
        <f t="shared" si="0"/>
        <v>0</v>
      </c>
    </row>
    <row r="23" spans="2:9" s="22" customFormat="1" ht="13" x14ac:dyDescent="0.3">
      <c r="B23" s="978" t="str">
        <f>'VIII. PE CH4(BCS)'!B19</f>
        <v>abril</v>
      </c>
      <c r="C23" s="248">
        <f>'IV. Datos Entrada-PE'!C134</f>
        <v>0</v>
      </c>
      <c r="D23" s="249">
        <f>'IV. Datos Entrada-PE'!D134</f>
        <v>0</v>
      </c>
      <c r="E23" s="249">
        <f>'IV. Datos Entrada-PE'!E134</f>
        <v>0</v>
      </c>
      <c r="F23" s="250">
        <v>0.71699999999999997</v>
      </c>
      <c r="G23" s="251">
        <v>1E-3</v>
      </c>
      <c r="H23" s="252">
        <f>(C23+(D23*E23))*F23*G23*'VIII. PE CH4(BCS)'!F19</f>
        <v>0</v>
      </c>
      <c r="I23" s="592">
        <f t="shared" si="0"/>
        <v>0</v>
      </c>
    </row>
    <row r="24" spans="2:9" s="22" customFormat="1" ht="13" x14ac:dyDescent="0.3">
      <c r="B24" s="978" t="str">
        <f>'VIII. PE CH4(BCS)'!B20</f>
        <v>mayo</v>
      </c>
      <c r="C24" s="248">
        <f>'IV. Datos Entrada-PE'!C135</f>
        <v>0</v>
      </c>
      <c r="D24" s="249">
        <f>'IV. Datos Entrada-PE'!D135</f>
        <v>0</v>
      </c>
      <c r="E24" s="249">
        <f>'IV. Datos Entrada-PE'!E135</f>
        <v>0</v>
      </c>
      <c r="F24" s="250">
        <v>0.71699999999999997</v>
      </c>
      <c r="G24" s="251">
        <v>1E-3</v>
      </c>
      <c r="H24" s="252">
        <f>(C24+(D24*E24))*F24*G24*'VIII. PE CH4(BCS)'!F20</f>
        <v>0</v>
      </c>
      <c r="I24" s="592">
        <f t="shared" si="0"/>
        <v>0</v>
      </c>
    </row>
    <row r="25" spans="2:9" s="22" customFormat="1" ht="13" x14ac:dyDescent="0.3">
      <c r="B25" s="978" t="str">
        <f>'VIII. PE CH4(BCS)'!B21</f>
        <v>junio</v>
      </c>
      <c r="C25" s="248">
        <f>'IV. Datos Entrada-PE'!C136</f>
        <v>0</v>
      </c>
      <c r="D25" s="249">
        <f>'IV. Datos Entrada-PE'!D136</f>
        <v>0</v>
      </c>
      <c r="E25" s="249">
        <f>'IV. Datos Entrada-PE'!E136</f>
        <v>0</v>
      </c>
      <c r="F25" s="250">
        <v>0.71699999999999997</v>
      </c>
      <c r="G25" s="251">
        <v>1E-3</v>
      </c>
      <c r="H25" s="252">
        <f>(C25+(D25*E25))*F25*G25*'VIII. PE CH4(BCS)'!F21</f>
        <v>0</v>
      </c>
      <c r="I25" s="592">
        <f t="shared" si="0"/>
        <v>0</v>
      </c>
    </row>
    <row r="26" spans="2:9" s="22" customFormat="1" ht="13" x14ac:dyDescent="0.3">
      <c r="B26" s="978" t="str">
        <f>'VIII. PE CH4(BCS)'!B22</f>
        <v>julio</v>
      </c>
      <c r="C26" s="248">
        <f>'IV. Datos Entrada-PE'!C137</f>
        <v>0</v>
      </c>
      <c r="D26" s="249">
        <f>'IV. Datos Entrada-PE'!D137</f>
        <v>0</v>
      </c>
      <c r="E26" s="249">
        <f>'IV. Datos Entrada-PE'!E137</f>
        <v>0</v>
      </c>
      <c r="F26" s="250">
        <v>0.71699999999999997</v>
      </c>
      <c r="G26" s="251">
        <v>1E-3</v>
      </c>
      <c r="H26" s="252">
        <f>(C26+(D26*E26))*F26*G26*'VIII. PE CH4(BCS)'!F22</f>
        <v>0</v>
      </c>
      <c r="I26" s="592">
        <f t="shared" si="0"/>
        <v>0</v>
      </c>
    </row>
    <row r="27" spans="2:9" s="22" customFormat="1" ht="13" x14ac:dyDescent="0.3">
      <c r="B27" s="978" t="str">
        <f>'VIII. PE CH4(BCS)'!B23</f>
        <v>agosto</v>
      </c>
      <c r="C27" s="248">
        <f>'IV. Datos Entrada-PE'!C138</f>
        <v>0</v>
      </c>
      <c r="D27" s="249">
        <f>'IV. Datos Entrada-PE'!D138</f>
        <v>0</v>
      </c>
      <c r="E27" s="249">
        <f>'IV. Datos Entrada-PE'!E138</f>
        <v>0</v>
      </c>
      <c r="F27" s="250">
        <v>0.71699999999999997</v>
      </c>
      <c r="G27" s="251">
        <v>1E-3</v>
      </c>
      <c r="H27" s="252">
        <f>(C27+(D27*E27))*F27*G27*'VIII. PE CH4(BCS)'!F23</f>
        <v>0</v>
      </c>
      <c r="I27" s="592">
        <f t="shared" si="0"/>
        <v>0</v>
      </c>
    </row>
    <row r="28" spans="2:9" s="22" customFormat="1" ht="13" x14ac:dyDescent="0.3">
      <c r="B28" s="978" t="str">
        <f>'VIII. PE CH4(BCS)'!B24</f>
        <v>septiembre</v>
      </c>
      <c r="C28" s="248">
        <f>'IV. Datos Entrada-PE'!C139</f>
        <v>0</v>
      </c>
      <c r="D28" s="249">
        <f>'IV. Datos Entrada-PE'!D139</f>
        <v>0</v>
      </c>
      <c r="E28" s="249">
        <f>'IV. Datos Entrada-PE'!E139</f>
        <v>0</v>
      </c>
      <c r="F28" s="250">
        <v>0.71699999999999997</v>
      </c>
      <c r="G28" s="251">
        <v>1E-3</v>
      </c>
      <c r="H28" s="252">
        <f>(C28+(D28*E28))*F28*G28*'VIII. PE CH4(BCS)'!F24</f>
        <v>0</v>
      </c>
      <c r="I28" s="592">
        <f t="shared" si="0"/>
        <v>0</v>
      </c>
    </row>
    <row r="29" spans="2:9" s="22" customFormat="1" ht="13" x14ac:dyDescent="0.3">
      <c r="B29" s="978" t="str">
        <f>'VIII. PE CH4(BCS)'!B25</f>
        <v>octubre</v>
      </c>
      <c r="C29" s="248">
        <f>'IV. Datos Entrada-PE'!C140</f>
        <v>0</v>
      </c>
      <c r="D29" s="249">
        <f>'IV. Datos Entrada-PE'!D140</f>
        <v>0</v>
      </c>
      <c r="E29" s="249">
        <f>'IV. Datos Entrada-PE'!E140</f>
        <v>0</v>
      </c>
      <c r="F29" s="250">
        <v>0.71699999999999997</v>
      </c>
      <c r="G29" s="251">
        <v>1E-3</v>
      </c>
      <c r="H29" s="252">
        <f>(C29+(D29*E29))*F29*G29*'VIII. PE CH4(BCS)'!F25</f>
        <v>0</v>
      </c>
      <c r="I29" s="592">
        <f t="shared" si="0"/>
        <v>0</v>
      </c>
    </row>
    <row r="30" spans="2:9" s="22" customFormat="1" ht="13" x14ac:dyDescent="0.3">
      <c r="B30" s="978" t="str">
        <f>'VIII. PE CH4(BCS)'!B26</f>
        <v>noviembre</v>
      </c>
      <c r="C30" s="248">
        <f>'IV. Datos Entrada-PE'!C141</f>
        <v>0</v>
      </c>
      <c r="D30" s="249">
        <f>'IV. Datos Entrada-PE'!D141</f>
        <v>0</v>
      </c>
      <c r="E30" s="249">
        <f>'IV. Datos Entrada-PE'!E141</f>
        <v>0</v>
      </c>
      <c r="F30" s="250">
        <v>0.71699999999999997</v>
      </c>
      <c r="G30" s="251">
        <v>1E-3</v>
      </c>
      <c r="H30" s="252">
        <f>(C30+(D30*E30))*F30*G30*'VIII. PE CH4(BCS)'!F26</f>
        <v>0</v>
      </c>
      <c r="I30" s="592">
        <f t="shared" si="0"/>
        <v>0</v>
      </c>
    </row>
    <row r="31" spans="2:9" s="22" customFormat="1" ht="13.5" thickBot="1" x14ac:dyDescent="0.35">
      <c r="B31" s="978" t="str">
        <f>'VIII. PE CH4(BCS)'!B27</f>
        <v>diciembre</v>
      </c>
      <c r="C31" s="593">
        <f>'IV. Datos Entrada-PE'!C142</f>
        <v>0</v>
      </c>
      <c r="D31" s="594">
        <f>'IV. Datos Entrada-PE'!D142</f>
        <v>0</v>
      </c>
      <c r="E31" s="595">
        <f>'IV. Datos Entrada-PE'!E142</f>
        <v>0</v>
      </c>
      <c r="F31" s="378">
        <v>0.71699999999999997</v>
      </c>
      <c r="G31" s="379">
        <v>1E-3</v>
      </c>
      <c r="H31" s="380">
        <f>(C31+(D31*E31))*F31*G31*'VIII. PE CH4(BCS)'!F27</f>
        <v>0</v>
      </c>
      <c r="I31" s="592">
        <f t="shared" si="0"/>
        <v>0</v>
      </c>
    </row>
    <row r="32" spans="2:9" s="22" customFormat="1" ht="13.5" thickBot="1" x14ac:dyDescent="0.35">
      <c r="D32" s="2"/>
      <c r="E32" s="2"/>
      <c r="G32" s="253" t="s">
        <v>226</v>
      </c>
      <c r="H32" s="377">
        <f>SUM(H20:H31)</f>
        <v>0</v>
      </c>
      <c r="I32" s="377">
        <f>SUM(I20:I31)</f>
        <v>0</v>
      </c>
    </row>
    <row r="33" spans="2:10" s="22" customFormat="1" ht="13" x14ac:dyDescent="0.3">
      <c r="D33" s="2"/>
      <c r="E33" s="2"/>
      <c r="H33" s="5"/>
    </row>
    <row r="34" spans="2:10" ht="13" thickBot="1" x14ac:dyDescent="0.3">
      <c r="F34" s="10"/>
      <c r="H34" s="5"/>
    </row>
    <row r="35" spans="2:10" ht="12.75" customHeight="1" x14ac:dyDescent="0.25">
      <c r="B35" s="1108" t="s">
        <v>955</v>
      </c>
      <c r="C35" s="1109"/>
      <c r="D35" s="1109"/>
      <c r="E35" s="1109"/>
      <c r="F35" s="1109"/>
      <c r="G35" s="1109"/>
      <c r="H35" s="1109"/>
      <c r="I35" s="1110"/>
      <c r="J35" s="133"/>
    </row>
    <row r="36" spans="2:10" x14ac:dyDescent="0.25">
      <c r="B36" s="1107"/>
      <c r="C36" s="1111"/>
      <c r="D36" s="1111"/>
      <c r="E36" s="1111"/>
      <c r="F36" s="1111"/>
      <c r="G36" s="1111"/>
      <c r="H36" s="1111"/>
      <c r="I36" s="1112"/>
      <c r="J36" s="133"/>
    </row>
    <row r="37" spans="2:10" x14ac:dyDescent="0.25">
      <c r="B37" s="1107"/>
      <c r="C37" s="1111"/>
      <c r="D37" s="1111"/>
      <c r="E37" s="1111"/>
      <c r="F37" s="1111"/>
      <c r="G37" s="1111"/>
      <c r="H37" s="1111"/>
      <c r="I37" s="1112"/>
      <c r="J37" s="133"/>
    </row>
    <row r="38" spans="2:10" x14ac:dyDescent="0.25">
      <c r="B38" s="1107"/>
      <c r="C38" s="1111"/>
      <c r="D38" s="1111"/>
      <c r="E38" s="1111"/>
      <c r="F38" s="1111"/>
      <c r="G38" s="1111"/>
      <c r="H38" s="1111"/>
      <c r="I38" s="1112"/>
      <c r="J38" s="133"/>
    </row>
    <row r="39" spans="2:10" x14ac:dyDescent="0.25">
      <c r="B39" s="1107"/>
      <c r="C39" s="1111"/>
      <c r="D39" s="1111"/>
      <c r="E39" s="1111"/>
      <c r="F39" s="1111"/>
      <c r="G39" s="1111"/>
      <c r="H39" s="1111"/>
      <c r="I39" s="1112"/>
      <c r="J39" s="133"/>
    </row>
    <row r="40" spans="2:10" x14ac:dyDescent="0.25">
      <c r="B40" s="1107"/>
      <c r="C40" s="1111"/>
      <c r="D40" s="1111"/>
      <c r="E40" s="1111"/>
      <c r="F40" s="1111"/>
      <c r="G40" s="1111"/>
      <c r="H40" s="1111"/>
      <c r="I40" s="1112"/>
      <c r="J40" s="133"/>
    </row>
    <row r="41" spans="2:10" ht="13" thickBot="1" x14ac:dyDescent="0.3">
      <c r="B41" s="1113"/>
      <c r="C41" s="1114"/>
      <c r="D41" s="1114"/>
      <c r="E41" s="1114"/>
      <c r="F41" s="1114"/>
      <c r="G41" s="1114"/>
      <c r="H41" s="1114"/>
      <c r="I41" s="1115"/>
      <c r="J41" s="133"/>
    </row>
  </sheetData>
  <sheetProtection algorithmName="SHA-512" hashValue="JTeovQ8hehhp9uCVS6AC4+5KYGVpHmUldn6sKFP8tFjvsq1eaXyOZHEvl/GnaE25njuDFchPd1VMe5W53osWAA==" saltValue="bEQZZV6Knk/86ogMrLhbiw==" spinCount="100000" sheet="1" objects="1" scenarios="1"/>
  <mergeCells count="4">
    <mergeCell ref="B17:I17"/>
    <mergeCell ref="B35:I41"/>
    <mergeCell ref="C8:G8"/>
    <mergeCell ref="B18:I1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Max DuBuisson</DisplayName>
        <AccountId>15</AccountId>
        <AccountType/>
      </UserInfo>
      <UserInfo>
        <DisplayName>Sami Osman</DisplayName>
        <AccountId>14</AccountId>
        <AccountType/>
      </UserInfo>
    </SharedWithUsers>
    <_ip_UnifiedCompliancePolicyUIAction xmlns="http://schemas.microsoft.com/sharepoint/v3" xsi:nil="true"/>
    <_ip_UnifiedCompliancePolicyProperties xmlns="http://schemas.microsoft.com/sharepoint/v3" xsi:nil="true"/>
    <IconOverlay xmlns="http://schemas.microsoft.com/sharepoint/v4" xsi:nil="true"/>
    <lcf76f155ced4ddcb4097134ff3c332f xmlns="9ac66888-105e-4e54-b39a-e32c984792c9">
      <Terms xmlns="http://schemas.microsoft.com/office/infopath/2007/PartnerControls"/>
    </lcf76f155ced4ddcb4097134ff3c332f>
    <TaxCatchAll xmlns="04007bd9-c0d9-4f27-a4ad-edebe37704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3D3E07-0841-46FF-B401-A60D6716C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828AE2-F19F-46D9-AFBC-4F25359624C5}">
  <ds:schemaRefs>
    <ds:schemaRef ds:uri="9ac66888-105e-4e54-b39a-e32c984792c9"/>
    <ds:schemaRef ds:uri="http://schemas.microsoft.com/office/2006/documentManagement/types"/>
    <ds:schemaRef ds:uri="http://www.w3.org/XML/1998/namespace"/>
    <ds:schemaRef ds:uri="http://purl.org/dc/elements/1.1/"/>
    <ds:schemaRef ds:uri="http://schemas.microsoft.com/sharepoint/v3"/>
    <ds:schemaRef ds:uri="http://schemas.microsoft.com/office/infopath/2007/PartnerControls"/>
    <ds:schemaRef ds:uri="http://schemas.openxmlformats.org/package/2006/metadata/core-properties"/>
    <ds:schemaRef ds:uri="http://schemas.microsoft.com/sharepoint/v4"/>
    <ds:schemaRef ds:uri="04007bd9-c0d9-4f27-a4ad-edebe3770499"/>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9562DEA-57C7-4A0B-90B1-F2F068E5A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 Introducción</vt:lpstr>
      <vt:lpstr>II. Resumen</vt:lpstr>
      <vt:lpstr>III. Datos Entrada-BE</vt:lpstr>
      <vt:lpstr>IV. Datos Entrada-PE</vt:lpstr>
      <vt:lpstr>V. BE CH4-AS</vt:lpstr>
      <vt:lpstr>VI. BE CH4-nAS</vt:lpstr>
      <vt:lpstr>VII. Total BE CH4</vt:lpstr>
      <vt:lpstr>VIII. PE CH4(BCS)</vt:lpstr>
      <vt:lpstr>IX. PE CH4(V)</vt:lpstr>
      <vt:lpstr>X. PE CH4(EP)</vt:lpstr>
      <vt:lpstr>XI. PE CH4(nBCS)</vt:lpstr>
      <vt:lpstr>XII. Total PE CH4</vt:lpstr>
      <vt:lpstr>XIII. CO2</vt:lpstr>
      <vt:lpstr>XIV. Tablas de referencia</vt:lpstr>
      <vt:lpstr>PCG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Climate Action Reserve</dc:creator>
  <cp:keywords/>
  <dc:description/>
  <cp:lastModifiedBy>Rachel Mooney</cp:lastModifiedBy>
  <cp:revision/>
  <dcterms:created xsi:type="dcterms:W3CDTF">2012-05-25T20:41:43Z</dcterms:created>
  <dcterms:modified xsi:type="dcterms:W3CDTF">2024-02-22T16:50:22Z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Order">
    <vt:r8>100</vt:r8>
  </property>
  <property fmtid="{D5CDD505-2E9C-101B-9397-08002B2CF9AE}" pid="4" name="MediaServiceImageTags">
    <vt:lpwstr/>
  </property>
</Properties>
</file>